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TRANSPARENCIA 2020\ITDIF 2020\Ramo 28\Acuerdo_calendario\"/>
    </mc:Choice>
  </mc:AlternateContent>
  <bookViews>
    <workbookView xWindow="0" yWindow="0" windowWidth="24000" windowHeight="11130"/>
  </bookViews>
  <sheets>
    <sheet name="CALENDARIO" sheetId="54" r:id="rId1"/>
    <sheet name="Porcentaje y Montos" sheetId="55" r:id="rId2"/>
    <sheet name="FGP" sheetId="53" r:id="rId3"/>
    <sheet name="FFM" sheetId="6" r:id="rId4"/>
    <sheet name="IEPS" sheetId="35" r:id="rId5"/>
    <sheet name="Nuevas Potestades" sheetId="49" r:id="rId6"/>
    <sheet name="FOFIR " sheetId="48" r:id="rId7"/>
    <sheet name="FOCO" sheetId="38" r:id="rId8"/>
    <sheet name="FOCO_ISAN" sheetId="43" r:id="rId9"/>
    <sheet name="ISAN" sheetId="42" r:id="rId10"/>
    <sheet name="Predial y Agua" sheetId="33" r:id="rId11"/>
    <sheet name="CENSO" sheetId="23" r:id="rId12"/>
    <sheet name="F.G.P. 2014" sheetId="56" r:id="rId13"/>
    <sheet name="F.F.M. 2014" sheetId="57" r:id="rId14"/>
    <sheet name="IEPS 2014 " sheetId="58" r:id="rId15"/>
    <sheet name="FOFIR 2014 " sheetId="59" r:id="rId16"/>
    <sheet name=" FC 2014" sheetId="60" r:id="rId17"/>
    <sheet name="IEPSGAS 2014  " sheetId="61" r:id="rId18"/>
    <sheet name="Inicio" sheetId="27" state="hidden" r:id="rId19"/>
    <sheet name="1. Relleno" sheetId="28" state="hidden" r:id="rId20"/>
    <sheet name="2. Analizar" sheetId="29" state="hidden" r:id="rId21"/>
    <sheet name="3. Gráfico" sheetId="30" state="hidden" r:id="rId22"/>
  </sheets>
  <externalReferences>
    <externalReference r:id="rId23"/>
    <externalReference r:id="rId24"/>
    <externalReference r:id="rId25"/>
  </externalReferences>
  <calcPr calcId="152511"/>
</workbook>
</file>

<file path=xl/calcChain.xml><?xml version="1.0" encoding="utf-8"?>
<calcChain xmlns="http://schemas.openxmlformats.org/spreadsheetml/2006/main">
  <c r="N27" i="61" l="1"/>
  <c r="M27" i="61"/>
  <c r="L27" i="61"/>
  <c r="K27" i="61"/>
  <c r="J27" i="61"/>
  <c r="I27" i="61"/>
  <c r="H27" i="61"/>
  <c r="G27" i="61"/>
  <c r="F27" i="61"/>
  <c r="E27" i="61"/>
  <c r="D27" i="61"/>
  <c r="C27" i="61"/>
  <c r="B27" i="61"/>
  <c r="O26" i="61"/>
  <c r="O25" i="61"/>
  <c r="O24" i="61"/>
  <c r="O23" i="61"/>
  <c r="O22" i="61"/>
  <c r="O21" i="61"/>
  <c r="O20" i="61"/>
  <c r="O19" i="61"/>
  <c r="O18" i="61"/>
  <c r="O17" i="61"/>
  <c r="O16" i="61"/>
  <c r="O15" i="61"/>
  <c r="O14" i="61"/>
  <c r="O13" i="61"/>
  <c r="O12" i="61"/>
  <c r="O11" i="61"/>
  <c r="O10" i="61"/>
  <c r="O9" i="61"/>
  <c r="O8" i="61"/>
  <c r="O7" i="61"/>
  <c r="O27" i="61" s="1"/>
  <c r="O27" i="60"/>
  <c r="B27" i="60"/>
  <c r="O26" i="60"/>
  <c r="O25" i="60"/>
  <c r="O24" i="60"/>
  <c r="O23" i="60"/>
  <c r="O22" i="60"/>
  <c r="O21" i="60"/>
  <c r="O20" i="60"/>
  <c r="O19" i="60"/>
  <c r="O18" i="60"/>
  <c r="O17" i="60"/>
  <c r="O16" i="60"/>
  <c r="O15" i="60"/>
  <c r="O14" i="60"/>
  <c r="O13" i="60"/>
  <c r="O12" i="60"/>
  <c r="O11" i="60"/>
  <c r="O10" i="60"/>
  <c r="O9" i="60"/>
  <c r="O8" i="60"/>
  <c r="O7" i="60"/>
  <c r="N27" i="59"/>
  <c r="M27" i="59"/>
  <c r="L27" i="59"/>
  <c r="K27" i="59"/>
  <c r="J27" i="59"/>
  <c r="I27" i="59"/>
  <c r="H27" i="59"/>
  <c r="G27" i="59"/>
  <c r="F27" i="59"/>
  <c r="E27" i="59"/>
  <c r="D27" i="59"/>
  <c r="C27" i="59"/>
  <c r="B27" i="59"/>
  <c r="O26" i="59"/>
  <c r="O25" i="59"/>
  <c r="O24" i="59"/>
  <c r="O23" i="59"/>
  <c r="O22" i="59"/>
  <c r="O21" i="59"/>
  <c r="O20" i="59"/>
  <c r="O19" i="59"/>
  <c r="O18" i="59"/>
  <c r="O17" i="59"/>
  <c r="O16" i="59"/>
  <c r="O15" i="59"/>
  <c r="O14" i="59"/>
  <c r="O13" i="59"/>
  <c r="O12" i="59"/>
  <c r="O11" i="59"/>
  <c r="O10" i="59"/>
  <c r="O9" i="59"/>
  <c r="O8" i="59"/>
  <c r="O7" i="59"/>
  <c r="N27" i="58"/>
  <c r="M27" i="58"/>
  <c r="L27" i="58"/>
  <c r="K27" i="58"/>
  <c r="J27" i="58"/>
  <c r="I27" i="58"/>
  <c r="H27" i="58"/>
  <c r="G27" i="58"/>
  <c r="F27" i="58"/>
  <c r="E27" i="58"/>
  <c r="D27" i="58"/>
  <c r="C27" i="58"/>
  <c r="B27" i="58"/>
  <c r="O26" i="58"/>
  <c r="O25" i="58"/>
  <c r="O24" i="58"/>
  <c r="O23" i="58"/>
  <c r="O22" i="58"/>
  <c r="O21" i="58"/>
  <c r="O20" i="58"/>
  <c r="O19" i="58"/>
  <c r="O18" i="58"/>
  <c r="O17" i="58"/>
  <c r="O16" i="58"/>
  <c r="O15" i="58"/>
  <c r="O14" i="58"/>
  <c r="O13" i="58"/>
  <c r="O12" i="58"/>
  <c r="O11" i="58"/>
  <c r="O10" i="58"/>
  <c r="O9" i="58"/>
  <c r="O8" i="58"/>
  <c r="O7" i="58"/>
  <c r="N27" i="57"/>
  <c r="M27" i="57"/>
  <c r="L27" i="57"/>
  <c r="K27" i="57"/>
  <c r="J27" i="57"/>
  <c r="I27" i="57"/>
  <c r="H27" i="57"/>
  <c r="G27" i="57"/>
  <c r="F27" i="57"/>
  <c r="E27" i="57"/>
  <c r="D27" i="57"/>
  <c r="C27" i="57"/>
  <c r="O27" i="57" s="1"/>
  <c r="B27" i="57"/>
  <c r="O26" i="57"/>
  <c r="O25" i="57"/>
  <c r="O24" i="57"/>
  <c r="O23" i="57"/>
  <c r="O22" i="57"/>
  <c r="O21" i="57"/>
  <c r="O20" i="57"/>
  <c r="O19" i="57"/>
  <c r="O18" i="57"/>
  <c r="O17" i="57"/>
  <c r="O16" i="57"/>
  <c r="O15" i="57"/>
  <c r="O14" i="57"/>
  <c r="O13" i="57"/>
  <c r="O12" i="57"/>
  <c r="O11" i="57"/>
  <c r="O10" i="57"/>
  <c r="O9" i="57"/>
  <c r="O8" i="57"/>
  <c r="O7" i="57"/>
  <c r="N27" i="56"/>
  <c r="M27" i="56"/>
  <c r="L27" i="56"/>
  <c r="K27" i="56"/>
  <c r="J27" i="56"/>
  <c r="I27" i="56"/>
  <c r="H27" i="56"/>
  <c r="G27" i="56"/>
  <c r="F27" i="56"/>
  <c r="E27" i="56"/>
  <c r="D27" i="56"/>
  <c r="C27" i="56"/>
  <c r="B27" i="56"/>
  <c r="O26" i="56"/>
  <c r="O25" i="56"/>
  <c r="O24" i="56"/>
  <c r="O23" i="56"/>
  <c r="O22" i="56"/>
  <c r="O21" i="56"/>
  <c r="O20" i="56"/>
  <c r="O19" i="56"/>
  <c r="O18" i="56"/>
  <c r="O17" i="56"/>
  <c r="O16" i="56"/>
  <c r="O15" i="56"/>
  <c r="O14" i="56"/>
  <c r="O13" i="56"/>
  <c r="O12" i="56"/>
  <c r="O11" i="56"/>
  <c r="O10" i="56"/>
  <c r="O9" i="56"/>
  <c r="O8" i="56"/>
  <c r="O7" i="56"/>
  <c r="O27" i="56" l="1"/>
  <c r="O27" i="58"/>
  <c r="O27" i="59"/>
  <c r="D29" i="43"/>
  <c r="O31" i="6" l="1"/>
  <c r="O14" i="6" s="1"/>
  <c r="O25" i="6" l="1"/>
  <c r="O13" i="6"/>
  <c r="O28" i="6"/>
  <c r="O20" i="6"/>
  <c r="O12" i="6"/>
  <c r="O11" i="6"/>
  <c r="O27" i="6"/>
  <c r="O23" i="6"/>
  <c r="O19" i="6"/>
  <c r="O15" i="6"/>
  <c r="O30" i="6"/>
  <c r="O22" i="6"/>
  <c r="O18" i="6"/>
  <c r="Y30" i="55" l="1"/>
  <c r="Z30" i="55"/>
  <c r="AA30" i="55"/>
  <c r="X30" i="55"/>
  <c r="AG30" i="55"/>
  <c r="AF30" i="55"/>
  <c r="I30" i="55"/>
  <c r="E30" i="55"/>
  <c r="D26" i="55" s="1"/>
  <c r="F26" i="55" s="1"/>
  <c r="G26" i="55" s="1"/>
  <c r="H26" i="55" s="1"/>
  <c r="B30" i="55"/>
  <c r="AE29" i="55"/>
  <c r="AD29" i="55"/>
  <c r="AC29" i="55"/>
  <c r="AB29" i="55"/>
  <c r="J29" i="55"/>
  <c r="K29" i="55" s="1"/>
  <c r="C29" i="55"/>
  <c r="AE28" i="55"/>
  <c r="AD28" i="55"/>
  <c r="AC28" i="55"/>
  <c r="AB28" i="55"/>
  <c r="J28" i="55"/>
  <c r="K28" i="55" s="1"/>
  <c r="L28" i="55" s="1"/>
  <c r="C28" i="55"/>
  <c r="AE27" i="55"/>
  <c r="AD27" i="55"/>
  <c r="AC27" i="55"/>
  <c r="AB27" i="55"/>
  <c r="J27" i="55"/>
  <c r="K27" i="55" s="1"/>
  <c r="C27" i="55"/>
  <c r="AE26" i="55"/>
  <c r="AD26" i="55"/>
  <c r="AC26" i="55"/>
  <c r="AB26" i="55"/>
  <c r="J26" i="55"/>
  <c r="K26" i="55" s="1"/>
  <c r="C26" i="55"/>
  <c r="AE25" i="55"/>
  <c r="AD25" i="55"/>
  <c r="AC25" i="55"/>
  <c r="AB25" i="55"/>
  <c r="J25" i="55"/>
  <c r="K25" i="55" s="1"/>
  <c r="C25" i="55"/>
  <c r="AE24" i="55"/>
  <c r="AD24" i="55"/>
  <c r="AC24" i="55"/>
  <c r="AB24" i="55"/>
  <c r="J24" i="55"/>
  <c r="K24" i="55" s="1"/>
  <c r="L24" i="55" s="1"/>
  <c r="C24" i="55"/>
  <c r="AE23" i="55"/>
  <c r="AD23" i="55"/>
  <c r="AC23" i="55"/>
  <c r="AB23" i="55"/>
  <c r="J23" i="55"/>
  <c r="K23" i="55" s="1"/>
  <c r="C23" i="55"/>
  <c r="AE22" i="55"/>
  <c r="AD22" i="55"/>
  <c r="AC22" i="55"/>
  <c r="AB22" i="55"/>
  <c r="J22" i="55"/>
  <c r="K22" i="55" s="1"/>
  <c r="C22" i="55"/>
  <c r="AE21" i="55"/>
  <c r="AD21" i="55"/>
  <c r="AC21" i="55"/>
  <c r="AB21" i="55"/>
  <c r="J21" i="55"/>
  <c r="K21" i="55" s="1"/>
  <c r="C21" i="55"/>
  <c r="AE20" i="55"/>
  <c r="AD20" i="55"/>
  <c r="AC20" i="55"/>
  <c r="AB20" i="55"/>
  <c r="J20" i="55"/>
  <c r="K20" i="55" s="1"/>
  <c r="L20" i="55" s="1"/>
  <c r="C20" i="55"/>
  <c r="AE19" i="55"/>
  <c r="AD19" i="55"/>
  <c r="AC19" i="55"/>
  <c r="AB19" i="55"/>
  <c r="J19" i="55"/>
  <c r="K19" i="55" s="1"/>
  <c r="C19" i="55"/>
  <c r="AE18" i="55"/>
  <c r="AD18" i="55"/>
  <c r="AC18" i="55"/>
  <c r="AB18" i="55"/>
  <c r="J18" i="55"/>
  <c r="K18" i="55" s="1"/>
  <c r="C18" i="55"/>
  <c r="AE17" i="55"/>
  <c r="AD17" i="55"/>
  <c r="AC17" i="55"/>
  <c r="AB17" i="55"/>
  <c r="J17" i="55"/>
  <c r="K17" i="55" s="1"/>
  <c r="D17" i="55"/>
  <c r="F17" i="55" s="1"/>
  <c r="G17" i="55" s="1"/>
  <c r="H17" i="55" s="1"/>
  <c r="C17" i="55"/>
  <c r="AE16" i="55"/>
  <c r="AD16" i="55"/>
  <c r="AC16" i="55"/>
  <c r="AB16" i="55"/>
  <c r="J16" i="55"/>
  <c r="K16" i="55" s="1"/>
  <c r="L16" i="55" s="1"/>
  <c r="C16" i="55"/>
  <c r="AE15" i="55"/>
  <c r="AD15" i="55"/>
  <c r="AC15" i="55"/>
  <c r="AB15" i="55"/>
  <c r="J15" i="55"/>
  <c r="K15" i="55" s="1"/>
  <c r="C15" i="55"/>
  <c r="AE14" i="55"/>
  <c r="AD14" i="55"/>
  <c r="AC14" i="55"/>
  <c r="AB14" i="55"/>
  <c r="J14" i="55"/>
  <c r="K14" i="55" s="1"/>
  <c r="D14" i="55"/>
  <c r="F14" i="55" s="1"/>
  <c r="G14" i="55" s="1"/>
  <c r="H14" i="55" s="1"/>
  <c r="C14" i="55"/>
  <c r="AE13" i="55"/>
  <c r="AD13" i="55"/>
  <c r="AC13" i="55"/>
  <c r="AB13" i="55"/>
  <c r="J13" i="55"/>
  <c r="K13" i="55" s="1"/>
  <c r="C13" i="55"/>
  <c r="AE12" i="55"/>
  <c r="AD12" i="55"/>
  <c r="AC12" i="55"/>
  <c r="AB12" i="55"/>
  <c r="J12" i="55"/>
  <c r="K12" i="55" s="1"/>
  <c r="L12" i="55" s="1"/>
  <c r="C12" i="55"/>
  <c r="AE11" i="55"/>
  <c r="AD11" i="55"/>
  <c r="AC11" i="55"/>
  <c r="AB11" i="55"/>
  <c r="J11" i="55"/>
  <c r="K11" i="55" s="1"/>
  <c r="C11" i="55"/>
  <c r="AE10" i="55"/>
  <c r="AD10" i="55"/>
  <c r="AC10" i="55"/>
  <c r="AB10" i="55"/>
  <c r="J10" i="55"/>
  <c r="K10" i="55" s="1"/>
  <c r="D10" i="55"/>
  <c r="C10" i="55"/>
  <c r="D25" i="55" l="1"/>
  <c r="F25" i="55" s="1"/>
  <c r="G25" i="55" s="1"/>
  <c r="H25" i="55" s="1"/>
  <c r="D12" i="55"/>
  <c r="F12" i="55" s="1"/>
  <c r="G12" i="55" s="1"/>
  <c r="H12" i="55" s="1"/>
  <c r="D15" i="55"/>
  <c r="F15" i="55" s="1"/>
  <c r="G15" i="55" s="1"/>
  <c r="H15" i="55" s="1"/>
  <c r="D19" i="55"/>
  <c r="F19" i="55" s="1"/>
  <c r="G19" i="55" s="1"/>
  <c r="H19" i="55" s="1"/>
  <c r="D23" i="55"/>
  <c r="F23" i="55" s="1"/>
  <c r="G23" i="55" s="1"/>
  <c r="H23" i="55" s="1"/>
  <c r="D27" i="55"/>
  <c r="F27" i="55" s="1"/>
  <c r="G27" i="55" s="1"/>
  <c r="H27" i="55" s="1"/>
  <c r="D29" i="55"/>
  <c r="F29" i="55" s="1"/>
  <c r="G29" i="55" s="1"/>
  <c r="H29" i="55" s="1"/>
  <c r="L15" i="55"/>
  <c r="M15" i="55" s="1"/>
  <c r="L23" i="55"/>
  <c r="M23" i="55" s="1"/>
  <c r="K30" i="55"/>
  <c r="L18" i="55"/>
  <c r="N26" i="55"/>
  <c r="O26" i="55" s="1"/>
  <c r="L26" i="55"/>
  <c r="N19" i="55"/>
  <c r="O19" i="55" s="1"/>
  <c r="L19" i="55"/>
  <c r="M19" i="55" s="1"/>
  <c r="N27" i="55"/>
  <c r="O27" i="55" s="1"/>
  <c r="L22" i="55"/>
  <c r="L27" i="55"/>
  <c r="M27" i="55" s="1"/>
  <c r="D11" i="55"/>
  <c r="F11" i="55" s="1"/>
  <c r="G11" i="55" s="1"/>
  <c r="H11" i="55" s="1"/>
  <c r="D13" i="55"/>
  <c r="F13" i="55" s="1"/>
  <c r="G13" i="55" s="1"/>
  <c r="H13" i="55" s="1"/>
  <c r="D20" i="55"/>
  <c r="F20" i="55" s="1"/>
  <c r="G20" i="55" s="1"/>
  <c r="H20" i="55" s="1"/>
  <c r="M20" i="55" s="1"/>
  <c r="D22" i="55"/>
  <c r="F22" i="55" s="1"/>
  <c r="G22" i="55" s="1"/>
  <c r="H22" i="55" s="1"/>
  <c r="F10" i="55"/>
  <c r="G10" i="55" s="1"/>
  <c r="N10" i="55" s="1"/>
  <c r="D28" i="55"/>
  <c r="F28" i="55" s="1"/>
  <c r="G28" i="55" s="1"/>
  <c r="H28" i="55" s="1"/>
  <c r="M28" i="55" s="1"/>
  <c r="D16" i="55"/>
  <c r="F16" i="55" s="1"/>
  <c r="G16" i="55" s="1"/>
  <c r="H16" i="55" s="1"/>
  <c r="M16" i="55" s="1"/>
  <c r="D18" i="55"/>
  <c r="F18" i="55" s="1"/>
  <c r="G18" i="55" s="1"/>
  <c r="H18" i="55" s="1"/>
  <c r="M18" i="55" s="1"/>
  <c r="D21" i="55"/>
  <c r="F21" i="55" s="1"/>
  <c r="G21" i="55" s="1"/>
  <c r="H21" i="55" s="1"/>
  <c r="D24" i="55"/>
  <c r="F24" i="55" s="1"/>
  <c r="G24" i="55" s="1"/>
  <c r="H24" i="55" s="1"/>
  <c r="AC30" i="55"/>
  <c r="AI30" i="55"/>
  <c r="C30" i="55"/>
  <c r="AH30" i="55"/>
  <c r="M12" i="55"/>
  <c r="W30" i="55"/>
  <c r="S30" i="55"/>
  <c r="AE30" i="55"/>
  <c r="T30" i="55"/>
  <c r="M26" i="55"/>
  <c r="N13" i="55"/>
  <c r="O13" i="55" s="1"/>
  <c r="L13" i="55"/>
  <c r="N29" i="55"/>
  <c r="O29" i="55" s="1"/>
  <c r="L29" i="55"/>
  <c r="H10" i="55"/>
  <c r="L11" i="55"/>
  <c r="N14" i="55"/>
  <c r="O14" i="55" s="1"/>
  <c r="L14" i="55"/>
  <c r="M14" i="55" s="1"/>
  <c r="L17" i="55"/>
  <c r="M17" i="55" s="1"/>
  <c r="N17" i="55"/>
  <c r="O17" i="55" s="1"/>
  <c r="M24" i="55"/>
  <c r="N25" i="55"/>
  <c r="O25" i="55" s="1"/>
  <c r="L25" i="55"/>
  <c r="M25" i="55" s="1"/>
  <c r="L21" i="55"/>
  <c r="J30" i="55"/>
  <c r="L10" i="55"/>
  <c r="N12" i="55"/>
  <c r="O12" i="55" s="1"/>
  <c r="N28" i="55"/>
  <c r="O28" i="55" s="1"/>
  <c r="N22" i="55" l="1"/>
  <c r="O22" i="55" s="1"/>
  <c r="N18" i="55"/>
  <c r="O18" i="55" s="1"/>
  <c r="M29" i="55"/>
  <c r="N23" i="55"/>
  <c r="O23" i="55" s="1"/>
  <c r="N15" i="55"/>
  <c r="O15" i="55" s="1"/>
  <c r="M21" i="55"/>
  <c r="M22" i="55"/>
  <c r="N16" i="55"/>
  <c r="O16" i="55" s="1"/>
  <c r="M11" i="55"/>
  <c r="M13" i="55"/>
  <c r="N21" i="55"/>
  <c r="O21" i="55" s="1"/>
  <c r="N11" i="55"/>
  <c r="O11" i="55" s="1"/>
  <c r="D30" i="55"/>
  <c r="F30" i="55" s="1"/>
  <c r="N24" i="55"/>
  <c r="O24" i="55" s="1"/>
  <c r="G30" i="55"/>
  <c r="N20" i="55"/>
  <c r="O20" i="55" s="1"/>
  <c r="L30" i="55"/>
  <c r="M10" i="55"/>
  <c r="H30" i="55"/>
  <c r="O10" i="55"/>
  <c r="N30" i="55" l="1"/>
  <c r="M30" i="55"/>
  <c r="O30" i="55"/>
  <c r="P10" i="55" s="1"/>
  <c r="Q10" i="55" l="1"/>
  <c r="P26" i="55"/>
  <c r="Q26" i="55" s="1"/>
  <c r="R26" i="55" s="1"/>
  <c r="P15" i="55"/>
  <c r="Q15" i="55" s="1"/>
  <c r="R15" i="55" s="1"/>
  <c r="P23" i="55"/>
  <c r="Q23" i="55" s="1"/>
  <c r="R23" i="55" s="1"/>
  <c r="P22" i="55"/>
  <c r="Q22" i="55" s="1"/>
  <c r="R22" i="55" s="1"/>
  <c r="P18" i="55"/>
  <c r="Q18" i="55" s="1"/>
  <c r="R18" i="55" s="1"/>
  <c r="P27" i="55"/>
  <c r="Q27" i="55" s="1"/>
  <c r="R27" i="55" s="1"/>
  <c r="P19" i="55"/>
  <c r="Q19" i="55" s="1"/>
  <c r="R19" i="55" s="1"/>
  <c r="P28" i="55"/>
  <c r="Q28" i="55" s="1"/>
  <c r="R28" i="55" s="1"/>
  <c r="P29" i="55"/>
  <c r="Q29" i="55" s="1"/>
  <c r="R29" i="55" s="1"/>
  <c r="P20" i="55"/>
  <c r="Q20" i="55" s="1"/>
  <c r="R20" i="55" s="1"/>
  <c r="P12" i="55"/>
  <c r="Q12" i="55" s="1"/>
  <c r="R12" i="55" s="1"/>
  <c r="P24" i="55"/>
  <c r="Q24" i="55" s="1"/>
  <c r="R24" i="55" s="1"/>
  <c r="P17" i="55"/>
  <c r="Q17" i="55" s="1"/>
  <c r="R17" i="55" s="1"/>
  <c r="P16" i="55"/>
  <c r="Q16" i="55" s="1"/>
  <c r="R16" i="55" s="1"/>
  <c r="P21" i="55"/>
  <c r="Q21" i="55" s="1"/>
  <c r="R21" i="55" s="1"/>
  <c r="P14" i="55"/>
  <c r="Q14" i="55" s="1"/>
  <c r="R14" i="55" s="1"/>
  <c r="P25" i="55"/>
  <c r="Q25" i="55" s="1"/>
  <c r="R25" i="55" s="1"/>
  <c r="P11" i="55"/>
  <c r="Q11" i="55" s="1"/>
  <c r="R11" i="55" s="1"/>
  <c r="P13" i="55"/>
  <c r="Q13" i="55" s="1"/>
  <c r="R13" i="55" s="1"/>
  <c r="P30" i="55" l="1"/>
  <c r="R10" i="55"/>
  <c r="R30" i="55" s="1"/>
  <c r="Q30" i="55"/>
  <c r="X31" i="53" l="1"/>
  <c r="C31" i="53"/>
  <c r="K30" i="53"/>
  <c r="K29" i="53"/>
  <c r="K28" i="53"/>
  <c r="K27" i="53"/>
  <c r="K26" i="53"/>
  <c r="K25" i="53"/>
  <c r="K24" i="53"/>
  <c r="K23" i="53"/>
  <c r="K22" i="53"/>
  <c r="K21" i="53"/>
  <c r="K20" i="53"/>
  <c r="Y20" i="53" s="1"/>
  <c r="K19" i="53"/>
  <c r="Y19" i="53" s="1"/>
  <c r="K18" i="53"/>
  <c r="Y18" i="53" s="1"/>
  <c r="K17" i="53"/>
  <c r="Y17" i="53" s="1"/>
  <c r="K15" i="53"/>
  <c r="Y15" i="53" s="1"/>
  <c r="K14" i="53"/>
  <c r="K13" i="53"/>
  <c r="K12" i="53"/>
  <c r="K11" i="53"/>
  <c r="I31" i="53"/>
  <c r="E31" i="53"/>
  <c r="D31" i="53"/>
  <c r="Y11" i="53" l="1"/>
  <c r="Y13" i="53"/>
  <c r="F30" i="53"/>
  <c r="F29" i="53"/>
  <c r="F28" i="53"/>
  <c r="F27" i="53"/>
  <c r="F26" i="53"/>
  <c r="F25" i="53"/>
  <c r="F24" i="53"/>
  <c r="F23" i="53"/>
  <c r="F22" i="53"/>
  <c r="F21" i="53"/>
  <c r="F14" i="53"/>
  <c r="F13" i="53"/>
  <c r="F17" i="53"/>
  <c r="F16" i="53"/>
  <c r="F20" i="53"/>
  <c r="F19" i="53"/>
  <c r="F18" i="53"/>
  <c r="F12" i="53"/>
  <c r="F11" i="53"/>
  <c r="F15" i="53"/>
  <c r="Y12" i="53"/>
  <c r="Y14" i="53"/>
  <c r="Y24" i="53"/>
  <c r="Y27" i="53"/>
  <c r="K16" i="53"/>
  <c r="Y21" i="53"/>
  <c r="Y23" i="53"/>
  <c r="Y25" i="53"/>
  <c r="Y26" i="53"/>
  <c r="Y28" i="53"/>
  <c r="Y29" i="53"/>
  <c r="Y30" i="53"/>
  <c r="Y22" i="53"/>
  <c r="J31" i="53"/>
  <c r="G15" i="53" l="1"/>
  <c r="E15" i="38"/>
  <c r="C13" i="42"/>
  <c r="C13" i="43"/>
  <c r="D13" i="43" s="1"/>
  <c r="G12" i="53"/>
  <c r="E12" i="38"/>
  <c r="C10" i="42"/>
  <c r="C10" i="43"/>
  <c r="D10" i="43" s="1"/>
  <c r="G19" i="53"/>
  <c r="E19" i="38"/>
  <c r="C17" i="42"/>
  <c r="C17" i="43"/>
  <c r="D17" i="43" s="1"/>
  <c r="G16" i="53"/>
  <c r="E16" i="38"/>
  <c r="C14" i="42"/>
  <c r="C14" i="43"/>
  <c r="D14" i="43" s="1"/>
  <c r="G13" i="53"/>
  <c r="E13" i="38"/>
  <c r="C11" i="42"/>
  <c r="C11" i="43"/>
  <c r="D11" i="43" s="1"/>
  <c r="G21" i="53"/>
  <c r="E21" i="38"/>
  <c r="C19" i="42"/>
  <c r="C19" i="43"/>
  <c r="D19" i="43" s="1"/>
  <c r="G23" i="53"/>
  <c r="E23" i="38"/>
  <c r="C21" i="42"/>
  <c r="C21" i="43"/>
  <c r="D21" i="43" s="1"/>
  <c r="G25" i="53"/>
  <c r="E25" i="38"/>
  <c r="C23" i="42"/>
  <c r="C23" i="43"/>
  <c r="D23" i="43" s="1"/>
  <c r="G27" i="53"/>
  <c r="E27" i="38"/>
  <c r="C25" i="42"/>
  <c r="C25" i="43"/>
  <c r="D25" i="43" s="1"/>
  <c r="G29" i="53"/>
  <c r="E29" i="38"/>
  <c r="C27" i="42"/>
  <c r="C27" i="43"/>
  <c r="D27" i="43" s="1"/>
  <c r="E11" i="38"/>
  <c r="C9" i="42"/>
  <c r="C9" i="43"/>
  <c r="D9" i="43" s="1"/>
  <c r="G18" i="53"/>
  <c r="E18" i="38"/>
  <c r="C16" i="42"/>
  <c r="C16" i="43"/>
  <c r="D16" i="43" s="1"/>
  <c r="G20" i="53"/>
  <c r="E20" i="38"/>
  <c r="C18" i="42"/>
  <c r="C18" i="43"/>
  <c r="D18" i="43" s="1"/>
  <c r="G17" i="53"/>
  <c r="E17" i="38"/>
  <c r="C15" i="42"/>
  <c r="C15" i="43"/>
  <c r="D15" i="43" s="1"/>
  <c r="G14" i="53"/>
  <c r="E14" i="38"/>
  <c r="C12" i="42"/>
  <c r="C12" i="43"/>
  <c r="D12" i="43" s="1"/>
  <c r="G22" i="53"/>
  <c r="E22" i="38"/>
  <c r="C20" i="42"/>
  <c r="C20" i="43"/>
  <c r="D20" i="43" s="1"/>
  <c r="G24" i="53"/>
  <c r="E24" i="38"/>
  <c r="C22" i="42"/>
  <c r="C22" i="43"/>
  <c r="D22" i="43" s="1"/>
  <c r="G26" i="53"/>
  <c r="E26" i="38"/>
  <c r="C24" i="42"/>
  <c r="C24" i="43"/>
  <c r="D24" i="43" s="1"/>
  <c r="G28" i="53"/>
  <c r="E28" i="38"/>
  <c r="C26" i="42"/>
  <c r="C26" i="43"/>
  <c r="D26" i="43" s="1"/>
  <c r="G30" i="53"/>
  <c r="E30" i="38"/>
  <c r="C28" i="42"/>
  <c r="C28" i="43"/>
  <c r="D28" i="43" s="1"/>
  <c r="F31" i="53"/>
  <c r="G11" i="53"/>
  <c r="Y16" i="53"/>
  <c r="K31" i="53"/>
  <c r="L16" i="53" s="1"/>
  <c r="C28" i="49"/>
  <c r="E27" i="49"/>
  <c r="E26" i="49"/>
  <c r="E25" i="49"/>
  <c r="E24" i="49"/>
  <c r="E23" i="49"/>
  <c r="E22" i="49"/>
  <c r="E21" i="49"/>
  <c r="E20" i="49"/>
  <c r="E19" i="49"/>
  <c r="E18" i="49"/>
  <c r="E17" i="49"/>
  <c r="E16" i="49"/>
  <c r="E15" i="49"/>
  <c r="E14" i="49"/>
  <c r="E13" i="49"/>
  <c r="E12" i="49"/>
  <c r="E11" i="49"/>
  <c r="E10" i="49"/>
  <c r="E9" i="49"/>
  <c r="E8" i="49"/>
  <c r="D28" i="49"/>
  <c r="M28" i="48"/>
  <c r="C28" i="48"/>
  <c r="G27" i="48"/>
  <c r="G26" i="48"/>
  <c r="G25" i="48"/>
  <c r="G24" i="48"/>
  <c r="G23" i="48"/>
  <c r="G22" i="48"/>
  <c r="G21" i="48"/>
  <c r="G20" i="48"/>
  <c r="G19" i="48"/>
  <c r="G18" i="48"/>
  <c r="G17" i="48"/>
  <c r="G16" i="48"/>
  <c r="G15" i="48"/>
  <c r="G14" i="48"/>
  <c r="G13" i="48"/>
  <c r="G12" i="48"/>
  <c r="G11" i="48"/>
  <c r="G10" i="48"/>
  <c r="G9" i="48"/>
  <c r="G8" i="48"/>
  <c r="M16" i="53" l="1"/>
  <c r="F14" i="42"/>
  <c r="F14" i="43"/>
  <c r="E28" i="49"/>
  <c r="F15" i="49" s="1"/>
  <c r="G28" i="48"/>
  <c r="P16" i="53"/>
  <c r="Q16" i="53" s="1"/>
  <c r="V16" i="53"/>
  <c r="L18" i="53"/>
  <c r="L17" i="53"/>
  <c r="L20" i="53"/>
  <c r="L19" i="53"/>
  <c r="L14" i="53"/>
  <c r="L21" i="53"/>
  <c r="L11" i="53"/>
  <c r="L12" i="53"/>
  <c r="L27" i="53"/>
  <c r="L25" i="53"/>
  <c r="L30" i="53"/>
  <c r="L22" i="53"/>
  <c r="L13" i="53"/>
  <c r="L24" i="53"/>
  <c r="L26" i="53"/>
  <c r="L28" i="53"/>
  <c r="L15" i="53"/>
  <c r="L23" i="53"/>
  <c r="L29" i="53"/>
  <c r="G31" i="53"/>
  <c r="F11" i="49"/>
  <c r="F19" i="49"/>
  <c r="F27" i="49"/>
  <c r="F26" i="49"/>
  <c r="F18" i="49"/>
  <c r="F25" i="49"/>
  <c r="F17" i="49"/>
  <c r="F9" i="49"/>
  <c r="F16" i="49"/>
  <c r="F24" i="49"/>
  <c r="D28" i="48"/>
  <c r="M29" i="53" l="1"/>
  <c r="F27" i="42"/>
  <c r="F27" i="43"/>
  <c r="M15" i="53"/>
  <c r="F13" i="42"/>
  <c r="F13" i="43"/>
  <c r="M26" i="53"/>
  <c r="F24" i="42"/>
  <c r="F24" i="43"/>
  <c r="M13" i="53"/>
  <c r="F11" i="42"/>
  <c r="F11" i="43"/>
  <c r="M30" i="53"/>
  <c r="F28" i="42"/>
  <c r="F28" i="43"/>
  <c r="M27" i="53"/>
  <c r="F25" i="42"/>
  <c r="F25" i="43"/>
  <c r="F9" i="42"/>
  <c r="F9" i="43"/>
  <c r="M14" i="53"/>
  <c r="F12" i="42"/>
  <c r="F12" i="43"/>
  <c r="M20" i="53"/>
  <c r="F18" i="42"/>
  <c r="F18" i="43"/>
  <c r="M18" i="53"/>
  <c r="F16" i="42"/>
  <c r="F16" i="43"/>
  <c r="F8" i="49"/>
  <c r="F20" i="49"/>
  <c r="F12" i="49"/>
  <c r="F13" i="49"/>
  <c r="F21" i="49"/>
  <c r="F14" i="49"/>
  <c r="F22" i="49"/>
  <c r="F10" i="49"/>
  <c r="F23" i="49"/>
  <c r="M23" i="53"/>
  <c r="F21" i="42"/>
  <c r="F21" i="43"/>
  <c r="M28" i="53"/>
  <c r="F26" i="42"/>
  <c r="F26" i="43"/>
  <c r="M24" i="53"/>
  <c r="F22" i="42"/>
  <c r="F22" i="43"/>
  <c r="M22" i="53"/>
  <c r="F20" i="42"/>
  <c r="F20" i="43"/>
  <c r="M25" i="53"/>
  <c r="F23" i="42"/>
  <c r="F23" i="43"/>
  <c r="M12" i="53"/>
  <c r="F10" i="42"/>
  <c r="F10" i="43"/>
  <c r="M21" i="53"/>
  <c r="F19" i="42"/>
  <c r="F19" i="43"/>
  <c r="M19" i="53"/>
  <c r="F17" i="42"/>
  <c r="F17" i="43"/>
  <c r="M17" i="53"/>
  <c r="F15" i="42"/>
  <c r="F15" i="43"/>
  <c r="H31" i="53"/>
  <c r="V15" i="53"/>
  <c r="P15" i="53"/>
  <c r="Q15" i="53" s="1"/>
  <c r="V13" i="53"/>
  <c r="P13" i="53"/>
  <c r="Q13" i="53" s="1"/>
  <c r="P27" i="53"/>
  <c r="Q27" i="53" s="1"/>
  <c r="V27" i="53"/>
  <c r="V14" i="53"/>
  <c r="P14" i="53"/>
  <c r="Q14" i="53" s="1"/>
  <c r="P18" i="53"/>
  <c r="Q18" i="53" s="1"/>
  <c r="V18" i="53"/>
  <c r="P28" i="53"/>
  <c r="Q28" i="53" s="1"/>
  <c r="V28" i="53"/>
  <c r="P22" i="53"/>
  <c r="Q22" i="53" s="1"/>
  <c r="V22" i="53"/>
  <c r="P12" i="53"/>
  <c r="Q12" i="53" s="1"/>
  <c r="V12" i="53"/>
  <c r="P19" i="53"/>
  <c r="Q19" i="53" s="1"/>
  <c r="V19" i="53"/>
  <c r="O16" i="53"/>
  <c r="P29" i="53"/>
  <c r="Q29" i="53" s="1"/>
  <c r="V29" i="53"/>
  <c r="P26" i="53"/>
  <c r="Q26" i="53" s="1"/>
  <c r="V26" i="53"/>
  <c r="P30" i="53"/>
  <c r="Q30" i="53" s="1"/>
  <c r="V30" i="53"/>
  <c r="L31" i="53"/>
  <c r="M11" i="53"/>
  <c r="P20" i="53"/>
  <c r="Q20" i="53" s="1"/>
  <c r="V20" i="53"/>
  <c r="P23" i="53"/>
  <c r="Q23" i="53" s="1"/>
  <c r="V23" i="53"/>
  <c r="P24" i="53"/>
  <c r="Q24" i="53" s="1"/>
  <c r="V24" i="53"/>
  <c r="P25" i="53"/>
  <c r="Q25" i="53" s="1"/>
  <c r="V25" i="53"/>
  <c r="P21" i="53"/>
  <c r="Q21" i="53" s="1"/>
  <c r="V21" i="53"/>
  <c r="P17" i="53"/>
  <c r="Q17" i="53" s="1"/>
  <c r="V17" i="53"/>
  <c r="F28" i="49"/>
  <c r="O25" i="53" l="1"/>
  <c r="O23" i="53"/>
  <c r="O30" i="53"/>
  <c r="O28" i="53"/>
  <c r="O24" i="53"/>
  <c r="V11" i="53"/>
  <c r="M31" i="53"/>
  <c r="V31" i="53" s="1"/>
  <c r="P11" i="53"/>
  <c r="O12" i="53"/>
  <c r="O22" i="53"/>
  <c r="O27" i="53"/>
  <c r="O29" i="53"/>
  <c r="O19" i="53"/>
  <c r="O18" i="53"/>
  <c r="O15" i="53"/>
  <c r="O17" i="53"/>
  <c r="O21" i="53"/>
  <c r="O20" i="53"/>
  <c r="O26" i="53"/>
  <c r="O14" i="53"/>
  <c r="O13" i="53"/>
  <c r="P31" i="53" l="1"/>
  <c r="Q11" i="53"/>
  <c r="N31" i="53"/>
  <c r="O31" i="53" s="1"/>
  <c r="O11" i="53"/>
  <c r="Q31" i="53" l="1"/>
  <c r="R16" i="53" l="1"/>
  <c r="R19" i="53"/>
  <c r="R28" i="53"/>
  <c r="R24" i="53"/>
  <c r="R27" i="53"/>
  <c r="R29" i="53"/>
  <c r="R13" i="53"/>
  <c r="R18" i="53"/>
  <c r="R14" i="53"/>
  <c r="R22" i="53"/>
  <c r="R12" i="53"/>
  <c r="R15" i="53"/>
  <c r="R21" i="53"/>
  <c r="R23" i="53"/>
  <c r="R26" i="53"/>
  <c r="R17" i="53"/>
  <c r="R30" i="53"/>
  <c r="R25" i="53"/>
  <c r="R20" i="53"/>
  <c r="R11" i="53"/>
  <c r="I9" i="42" l="1"/>
  <c r="I9" i="43"/>
  <c r="I23" i="42"/>
  <c r="I23" i="43"/>
  <c r="I15" i="42"/>
  <c r="I15" i="43"/>
  <c r="I21" i="42"/>
  <c r="I21" i="43"/>
  <c r="I13" i="42"/>
  <c r="I13" i="43"/>
  <c r="I20" i="42"/>
  <c r="I20" i="43"/>
  <c r="I16" i="42"/>
  <c r="I16" i="43"/>
  <c r="I27" i="42"/>
  <c r="I27" i="43"/>
  <c r="I22" i="42"/>
  <c r="I22" i="43"/>
  <c r="I17" i="42"/>
  <c r="I17" i="43"/>
  <c r="I18" i="42"/>
  <c r="I18" i="43"/>
  <c r="I28" i="42"/>
  <c r="I28" i="43"/>
  <c r="I24" i="42"/>
  <c r="I24" i="43"/>
  <c r="I19" i="42"/>
  <c r="I19" i="43"/>
  <c r="I10" i="42"/>
  <c r="I10" i="43"/>
  <c r="I12" i="42"/>
  <c r="I12" i="43"/>
  <c r="I11" i="42"/>
  <c r="I11" i="43"/>
  <c r="I25" i="42"/>
  <c r="I25" i="43"/>
  <c r="I26" i="42"/>
  <c r="I26" i="43"/>
  <c r="I14" i="42"/>
  <c r="I14" i="43"/>
  <c r="S30" i="53"/>
  <c r="T30" i="53"/>
  <c r="U30" i="53" s="1"/>
  <c r="T14" i="53"/>
  <c r="U14" i="53" s="1"/>
  <c r="S14" i="53"/>
  <c r="S16" i="53"/>
  <c r="T16" i="53"/>
  <c r="U16" i="53" s="1"/>
  <c r="R31" i="53"/>
  <c r="T11" i="53"/>
  <c r="U11" i="53" s="1"/>
  <c r="S11" i="53"/>
  <c r="S17" i="53"/>
  <c r="T17" i="53"/>
  <c r="U17" i="53" s="1"/>
  <c r="S15" i="53"/>
  <c r="T15" i="53"/>
  <c r="U15" i="53" s="1"/>
  <c r="S18" i="53"/>
  <c r="T18" i="53"/>
  <c r="U18" i="53" s="1"/>
  <c r="S24" i="53"/>
  <c r="T24" i="53"/>
  <c r="U24" i="53" s="1"/>
  <c r="S28" i="53"/>
  <c r="T28" i="53"/>
  <c r="U28" i="53" s="1"/>
  <c r="S21" i="53"/>
  <c r="T21" i="53"/>
  <c r="U21" i="53" s="1"/>
  <c r="S20" i="53"/>
  <c r="T20" i="53"/>
  <c r="U20" i="53" s="1"/>
  <c r="S26" i="53"/>
  <c r="T26" i="53"/>
  <c r="U26" i="53" s="1"/>
  <c r="T12" i="53"/>
  <c r="U12" i="53" s="1"/>
  <c r="S12" i="53"/>
  <c r="T13" i="53"/>
  <c r="U13" i="53" s="1"/>
  <c r="S13" i="53"/>
  <c r="S25" i="53"/>
  <c r="T25" i="53"/>
  <c r="U25" i="53" s="1"/>
  <c r="S23" i="53"/>
  <c r="T23" i="53"/>
  <c r="U23" i="53" s="1"/>
  <c r="S22" i="53"/>
  <c r="T22" i="53"/>
  <c r="U22" i="53" s="1"/>
  <c r="S29" i="53"/>
  <c r="T29" i="53"/>
  <c r="U29" i="53" s="1"/>
  <c r="S19" i="53"/>
  <c r="T19" i="53"/>
  <c r="U19" i="53" s="1"/>
  <c r="S27" i="53"/>
  <c r="T27" i="53"/>
  <c r="U27" i="53" s="1"/>
  <c r="U31" i="53" l="1"/>
  <c r="S31" i="53"/>
  <c r="J29" i="43" l="1"/>
  <c r="G29" i="43"/>
  <c r="J29" i="42" l="1"/>
  <c r="G29" i="42"/>
  <c r="D29" i="42"/>
  <c r="H7" i="33"/>
  <c r="E9" i="48" s="1"/>
  <c r="H8" i="33"/>
  <c r="E10" i="48" s="1"/>
  <c r="H9" i="33"/>
  <c r="E11" i="48" s="1"/>
  <c r="H10" i="33"/>
  <c r="E12" i="48" s="1"/>
  <c r="H11" i="33"/>
  <c r="E13" i="48" s="1"/>
  <c r="H12" i="33"/>
  <c r="E14" i="48" s="1"/>
  <c r="H13" i="33"/>
  <c r="E15" i="48" s="1"/>
  <c r="H14" i="33"/>
  <c r="E16" i="48" s="1"/>
  <c r="H15" i="33"/>
  <c r="E17" i="48" s="1"/>
  <c r="H16" i="33"/>
  <c r="E18" i="48" s="1"/>
  <c r="H17" i="33"/>
  <c r="E19" i="48" s="1"/>
  <c r="H18" i="33"/>
  <c r="E20" i="48" s="1"/>
  <c r="H19" i="33"/>
  <c r="E21" i="48" s="1"/>
  <c r="H20" i="33"/>
  <c r="E22" i="48" s="1"/>
  <c r="H21" i="33"/>
  <c r="E23" i="48" s="1"/>
  <c r="H22" i="33"/>
  <c r="E24" i="48" s="1"/>
  <c r="H23" i="33"/>
  <c r="E25" i="48" s="1"/>
  <c r="H24" i="33"/>
  <c r="E26" i="48" s="1"/>
  <c r="H25" i="33"/>
  <c r="E27" i="48" s="1"/>
  <c r="H6" i="33"/>
  <c r="E8" i="48" s="1"/>
  <c r="D26" i="33"/>
  <c r="F26" i="33"/>
  <c r="G26" i="33"/>
  <c r="C26" i="33"/>
  <c r="E7" i="33"/>
  <c r="E8" i="33"/>
  <c r="E9" i="33"/>
  <c r="E10" i="33"/>
  <c r="E11" i="33"/>
  <c r="E12" i="33"/>
  <c r="E13" i="33"/>
  <c r="E14" i="33"/>
  <c r="E15" i="33"/>
  <c r="E16" i="33"/>
  <c r="E17" i="33"/>
  <c r="E18" i="33"/>
  <c r="E19" i="33"/>
  <c r="E20" i="33"/>
  <c r="E21" i="33"/>
  <c r="E22" i="33"/>
  <c r="E23" i="33"/>
  <c r="E24" i="33"/>
  <c r="E25" i="33"/>
  <c r="E6" i="33"/>
  <c r="N29" i="42" l="1"/>
  <c r="E26" i="33"/>
  <c r="H26" i="33"/>
  <c r="E24" i="43" l="1"/>
  <c r="E25" i="43" l="1"/>
  <c r="E22" i="43"/>
  <c r="E28" i="43"/>
  <c r="E13" i="43"/>
  <c r="E27" i="43"/>
  <c r="E26" i="43"/>
  <c r="E12" i="43"/>
  <c r="E16" i="43"/>
  <c r="E19" i="43"/>
  <c r="E23" i="43"/>
  <c r="E20" i="43"/>
  <c r="E10" i="43"/>
  <c r="E18" i="43"/>
  <c r="E17" i="43"/>
  <c r="E11" i="43"/>
  <c r="E14" i="43"/>
  <c r="E21" i="43"/>
  <c r="D24" i="42"/>
  <c r="E9" i="43" l="1"/>
  <c r="E15" i="43"/>
  <c r="D28" i="42"/>
  <c r="D25" i="42"/>
  <c r="D11" i="42"/>
  <c r="D18" i="42"/>
  <c r="D20" i="42"/>
  <c r="D19" i="42"/>
  <c r="D12" i="42"/>
  <c r="D27" i="42"/>
  <c r="D22" i="42"/>
  <c r="D21" i="42"/>
  <c r="D14" i="42"/>
  <c r="D17" i="42"/>
  <c r="D10" i="42"/>
  <c r="D23" i="42"/>
  <c r="D16" i="42"/>
  <c r="D26" i="42"/>
  <c r="D13" i="42"/>
  <c r="D15" i="42" l="1"/>
  <c r="D9" i="42"/>
  <c r="AB17" i="6"/>
  <c r="AB18" i="6"/>
  <c r="AB19" i="6"/>
  <c r="AB20" i="6"/>
  <c r="AB21" i="6"/>
  <c r="AB22" i="6"/>
  <c r="AB23" i="6"/>
  <c r="AB24" i="6"/>
  <c r="AB25" i="6"/>
  <c r="AB26" i="6"/>
  <c r="AB27" i="6"/>
  <c r="AB28" i="6"/>
  <c r="AB29" i="6"/>
  <c r="AB16" i="6"/>
  <c r="AA31" i="6"/>
  <c r="Y31" i="6"/>
  <c r="W31" i="6"/>
  <c r="V12" i="6"/>
  <c r="X12" i="6" s="1"/>
  <c r="V13" i="6"/>
  <c r="X13" i="6" s="1"/>
  <c r="V14" i="6"/>
  <c r="X14" i="6" s="1"/>
  <c r="V15" i="6"/>
  <c r="X15" i="6" s="1"/>
  <c r="V18" i="6"/>
  <c r="X18" i="6" s="1"/>
  <c r="V19" i="6"/>
  <c r="X19" i="6" s="1"/>
  <c r="V20" i="6"/>
  <c r="X20" i="6" s="1"/>
  <c r="V22" i="6"/>
  <c r="X22" i="6" s="1"/>
  <c r="V23" i="6"/>
  <c r="X23" i="6" s="1"/>
  <c r="V25" i="6"/>
  <c r="X25" i="6" s="1"/>
  <c r="V27" i="6"/>
  <c r="X27" i="6" s="1"/>
  <c r="V28" i="6"/>
  <c r="X28" i="6" s="1"/>
  <c r="V30" i="6"/>
  <c r="X30" i="6" s="1"/>
  <c r="V11" i="6"/>
  <c r="T11" i="6"/>
  <c r="T31" i="6" s="1"/>
  <c r="AB31" i="6" l="1"/>
  <c r="X11" i="6"/>
  <c r="C31" i="38" l="1"/>
  <c r="D31" i="38" l="1"/>
  <c r="C29" i="35" l="1"/>
  <c r="E28" i="48" l="1"/>
  <c r="F27" i="48" s="1"/>
  <c r="H27" i="48" s="1"/>
  <c r="F12" i="6"/>
  <c r="F13" i="6"/>
  <c r="F14" i="6"/>
  <c r="F15" i="6"/>
  <c r="F16" i="6"/>
  <c r="F17" i="6"/>
  <c r="F18" i="6"/>
  <c r="F19" i="6"/>
  <c r="F20" i="6"/>
  <c r="F21" i="6"/>
  <c r="F22" i="6"/>
  <c r="F23" i="6"/>
  <c r="F24" i="6"/>
  <c r="F25" i="6"/>
  <c r="F26" i="6"/>
  <c r="F27" i="6"/>
  <c r="F28" i="6"/>
  <c r="F29" i="6"/>
  <c r="F30" i="6"/>
  <c r="F11" i="6"/>
  <c r="F14" i="48" l="1"/>
  <c r="H14" i="48" s="1"/>
  <c r="F13" i="48"/>
  <c r="H13" i="48" s="1"/>
  <c r="F17" i="48"/>
  <c r="H17" i="48" s="1"/>
  <c r="F16" i="48"/>
  <c r="H16" i="48" s="1"/>
  <c r="F20" i="48"/>
  <c r="H20" i="48" s="1"/>
  <c r="F25" i="48"/>
  <c r="H25" i="48" s="1"/>
  <c r="F24" i="48"/>
  <c r="H24" i="48" s="1"/>
  <c r="F23" i="48"/>
  <c r="H23" i="48" s="1"/>
  <c r="F18" i="48"/>
  <c r="H18" i="48" s="1"/>
  <c r="F10" i="48"/>
  <c r="H10" i="48" s="1"/>
  <c r="F26" i="48"/>
  <c r="H26" i="48" s="1"/>
  <c r="F15" i="48"/>
  <c r="H15" i="48" s="1"/>
  <c r="F8" i="48"/>
  <c r="F19" i="48"/>
  <c r="H19" i="48" s="1"/>
  <c r="F12" i="48"/>
  <c r="H12" i="48" s="1"/>
  <c r="F22" i="48"/>
  <c r="H22" i="48" s="1"/>
  <c r="F21" i="48"/>
  <c r="H21" i="48" s="1"/>
  <c r="F11" i="48"/>
  <c r="H11" i="48" s="1"/>
  <c r="F9" i="48"/>
  <c r="H9" i="48" s="1"/>
  <c r="H8" i="48" l="1"/>
  <c r="F28" i="48"/>
  <c r="C30" i="23"/>
  <c r="D31" i="6"/>
  <c r="H28" i="48" l="1"/>
  <c r="I8" i="48" s="1"/>
  <c r="L8" i="48" s="1"/>
  <c r="E31" i="6"/>
  <c r="M31" i="6"/>
  <c r="N17" i="6" s="1"/>
  <c r="V17" i="6" l="1"/>
  <c r="X17" i="6" s="1"/>
  <c r="O17" i="6"/>
  <c r="H21" i="49"/>
  <c r="H24" i="49"/>
  <c r="H23" i="49"/>
  <c r="H10" i="49"/>
  <c r="H18" i="49"/>
  <c r="H22" i="49"/>
  <c r="H9" i="49"/>
  <c r="H20" i="49"/>
  <c r="H19" i="49"/>
  <c r="H15" i="49"/>
  <c r="H27" i="49"/>
  <c r="H25" i="49"/>
  <c r="H13" i="49"/>
  <c r="H16" i="49"/>
  <c r="H12" i="49"/>
  <c r="H11" i="49"/>
  <c r="H26" i="49"/>
  <c r="H14" i="49"/>
  <c r="H17" i="49"/>
  <c r="I28" i="48"/>
  <c r="I27" i="48"/>
  <c r="L27" i="48" s="1"/>
  <c r="N27" i="48" s="1"/>
  <c r="I22" i="48"/>
  <c r="L22" i="48" s="1"/>
  <c r="N22" i="48" s="1"/>
  <c r="I13" i="48"/>
  <c r="L13" i="48" s="1"/>
  <c r="N13" i="48" s="1"/>
  <c r="I24" i="48"/>
  <c r="L24" i="48" s="1"/>
  <c r="N24" i="48" s="1"/>
  <c r="I11" i="48"/>
  <c r="L11" i="48" s="1"/>
  <c r="N11" i="48" s="1"/>
  <c r="I16" i="48"/>
  <c r="L16" i="48" s="1"/>
  <c r="N16" i="48" s="1"/>
  <c r="I26" i="48"/>
  <c r="L26" i="48" s="1"/>
  <c r="N26" i="48" s="1"/>
  <c r="I17" i="48"/>
  <c r="L17" i="48" s="1"/>
  <c r="N17" i="48" s="1"/>
  <c r="I12" i="48"/>
  <c r="L12" i="48" s="1"/>
  <c r="N12" i="48" s="1"/>
  <c r="I10" i="48"/>
  <c r="L10" i="48" s="1"/>
  <c r="N10" i="48" s="1"/>
  <c r="I21" i="48"/>
  <c r="L21" i="48" s="1"/>
  <c r="N21" i="48" s="1"/>
  <c r="I18" i="48"/>
  <c r="L18" i="48" s="1"/>
  <c r="N18" i="48" s="1"/>
  <c r="I25" i="48"/>
  <c r="L25" i="48" s="1"/>
  <c r="N25" i="48" s="1"/>
  <c r="I20" i="48"/>
  <c r="L20" i="48" s="1"/>
  <c r="N20" i="48" s="1"/>
  <c r="I9" i="48"/>
  <c r="L9" i="48" s="1"/>
  <c r="N9" i="48" s="1"/>
  <c r="I15" i="48"/>
  <c r="L15" i="48" s="1"/>
  <c r="N15" i="48" s="1"/>
  <c r="I23" i="48"/>
  <c r="L23" i="48" s="1"/>
  <c r="N23" i="48" s="1"/>
  <c r="I19" i="48"/>
  <c r="L19" i="48" s="1"/>
  <c r="N19" i="48" s="1"/>
  <c r="I14" i="48"/>
  <c r="L14" i="48" s="1"/>
  <c r="N14" i="48" s="1"/>
  <c r="J11" i="48"/>
  <c r="K11" i="48" s="1"/>
  <c r="J8" i="48"/>
  <c r="K8" i="48" s="1"/>
  <c r="J15" i="48"/>
  <c r="K15" i="48" s="1"/>
  <c r="J14" i="48"/>
  <c r="K14" i="48" s="1"/>
  <c r="N8" i="48"/>
  <c r="D13" i="35"/>
  <c r="D23" i="35"/>
  <c r="D24" i="35"/>
  <c r="D27" i="35"/>
  <c r="D18" i="35"/>
  <c r="D21" i="35"/>
  <c r="D19" i="35"/>
  <c r="D20" i="35"/>
  <c r="D9" i="35"/>
  <c r="D14" i="35"/>
  <c r="D17" i="35"/>
  <c r="D16" i="35"/>
  <c r="D26" i="35"/>
  <c r="D11" i="35"/>
  <c r="D10" i="35"/>
  <c r="D28" i="35"/>
  <c r="D12" i="35"/>
  <c r="D22" i="35"/>
  <c r="D25" i="35"/>
  <c r="D15" i="35"/>
  <c r="I31" i="6"/>
  <c r="J31" i="6" s="1"/>
  <c r="N26" i="6"/>
  <c r="N21" i="6"/>
  <c r="N16" i="6"/>
  <c r="N29" i="6"/>
  <c r="N24" i="6"/>
  <c r="V29" i="6" l="1"/>
  <c r="X29" i="6" s="1"/>
  <c r="O29" i="6"/>
  <c r="V24" i="6"/>
  <c r="X24" i="6" s="1"/>
  <c r="O24" i="6"/>
  <c r="V16" i="6"/>
  <c r="O16" i="6"/>
  <c r="V26" i="6"/>
  <c r="X26" i="6" s="1"/>
  <c r="O26" i="6"/>
  <c r="V21" i="6"/>
  <c r="X21" i="6" s="1"/>
  <c r="O21" i="6"/>
  <c r="J12" i="48"/>
  <c r="K12" i="48" s="1"/>
  <c r="J25" i="48"/>
  <c r="K25" i="48" s="1"/>
  <c r="J27" i="48"/>
  <c r="K27" i="48" s="1"/>
  <c r="J18" i="48"/>
  <c r="K18" i="48" s="1"/>
  <c r="J24" i="48"/>
  <c r="K24" i="48" s="1"/>
  <c r="J17" i="48"/>
  <c r="K17" i="48" s="1"/>
  <c r="J22" i="48"/>
  <c r="K22" i="48" s="1"/>
  <c r="J21" i="48"/>
  <c r="K21" i="48" s="1"/>
  <c r="J19" i="48"/>
  <c r="K19" i="48" s="1"/>
  <c r="J13" i="48"/>
  <c r="K13" i="48" s="1"/>
  <c r="J26" i="48"/>
  <c r="K26" i="48" s="1"/>
  <c r="J16" i="48"/>
  <c r="K16" i="48" s="1"/>
  <c r="J9" i="48"/>
  <c r="K9" i="48" s="1"/>
  <c r="N28" i="48"/>
  <c r="J20" i="48"/>
  <c r="K20" i="48" s="1"/>
  <c r="J10" i="48"/>
  <c r="K10" i="48" s="1"/>
  <c r="J23" i="48"/>
  <c r="K23" i="48" s="1"/>
  <c r="L28" i="48"/>
  <c r="H8" i="49"/>
  <c r="G28" i="49"/>
  <c r="H28" i="49" s="1"/>
  <c r="G11" i="38"/>
  <c r="G9" i="42"/>
  <c r="F13" i="38"/>
  <c r="F12" i="38"/>
  <c r="H9" i="42"/>
  <c r="G13" i="38"/>
  <c r="X16" i="6"/>
  <c r="X31" i="6" s="1"/>
  <c r="V31" i="6"/>
  <c r="J19" i="6"/>
  <c r="J25" i="6"/>
  <c r="J16" i="6"/>
  <c r="J29" i="6"/>
  <c r="J14" i="6"/>
  <c r="J27" i="6"/>
  <c r="J21" i="6"/>
  <c r="J30" i="6"/>
  <c r="J26" i="6"/>
  <c r="J23" i="6"/>
  <c r="J28" i="6"/>
  <c r="J15" i="6"/>
  <c r="J17" i="6"/>
  <c r="J22" i="6"/>
  <c r="J18" i="6"/>
  <c r="J12" i="6"/>
  <c r="N31" i="6"/>
  <c r="J24" i="6"/>
  <c r="J11" i="6"/>
  <c r="J13" i="6"/>
  <c r="J20" i="6"/>
  <c r="K28" i="48" l="1"/>
  <c r="F11" i="38"/>
  <c r="H27" i="43"/>
  <c r="G27" i="43"/>
  <c r="G18" i="43"/>
  <c r="H18" i="43"/>
  <c r="G28" i="43"/>
  <c r="H28" i="43"/>
  <c r="G12" i="43"/>
  <c r="H12" i="43"/>
  <c r="G22" i="43"/>
  <c r="H22" i="43"/>
  <c r="H25" i="43"/>
  <c r="G25" i="43"/>
  <c r="H26" i="43"/>
  <c r="G26" i="43"/>
  <c r="G14" i="43"/>
  <c r="H14" i="43"/>
  <c r="G16" i="43"/>
  <c r="H16" i="43"/>
  <c r="G13" i="43"/>
  <c r="H13" i="43"/>
  <c r="G11" i="43"/>
  <c r="H11" i="43"/>
  <c r="G15" i="43"/>
  <c r="H15" i="43"/>
  <c r="G19" i="43"/>
  <c r="H19" i="43"/>
  <c r="G24" i="43"/>
  <c r="H24" i="43"/>
  <c r="G21" i="43"/>
  <c r="H21" i="43"/>
  <c r="G10" i="43"/>
  <c r="H10" i="43"/>
  <c r="G20" i="43"/>
  <c r="H20" i="43"/>
  <c r="G23" i="43"/>
  <c r="H23" i="43"/>
  <c r="G17" i="43"/>
  <c r="H17" i="43"/>
  <c r="G9" i="43"/>
  <c r="H9" i="43"/>
  <c r="G12" i="38"/>
  <c r="E24" i="42"/>
  <c r="E21" i="42"/>
  <c r="E17" i="42"/>
  <c r="E26" i="42"/>
  <c r="E11" i="42"/>
  <c r="E20" i="42"/>
  <c r="E18" i="42"/>
  <c r="E25" i="42"/>
  <c r="E19" i="42"/>
  <c r="E27" i="42"/>
  <c r="E22" i="42"/>
  <c r="E14" i="42"/>
  <c r="E16" i="42"/>
  <c r="E28" i="42"/>
  <c r="E12" i="42"/>
  <c r="E23" i="42"/>
  <c r="E10" i="42"/>
  <c r="E13" i="42"/>
  <c r="E9" i="42"/>
  <c r="E15" i="42"/>
  <c r="F16" i="38"/>
  <c r="G16" i="38"/>
  <c r="F24" i="38"/>
  <c r="G24" i="38"/>
  <c r="F27" i="38"/>
  <c r="G27" i="38"/>
  <c r="F21" i="38"/>
  <c r="G21" i="38"/>
  <c r="F15" i="38"/>
  <c r="G15" i="38"/>
  <c r="F30" i="38"/>
  <c r="G30" i="38"/>
  <c r="F26" i="38"/>
  <c r="G26" i="38"/>
  <c r="F25" i="38"/>
  <c r="G25" i="38"/>
  <c r="F23" i="38"/>
  <c r="G23" i="38"/>
  <c r="F17" i="38"/>
  <c r="G17" i="38"/>
  <c r="F19" i="38"/>
  <c r="G19" i="38"/>
  <c r="F28" i="38"/>
  <c r="G28" i="38"/>
  <c r="F29" i="38"/>
  <c r="G29" i="38"/>
  <c r="F14" i="38"/>
  <c r="G14" i="38"/>
  <c r="F18" i="38"/>
  <c r="G18" i="38"/>
  <c r="F22" i="38"/>
  <c r="G22" i="38"/>
  <c r="F20" i="38"/>
  <c r="G20" i="38"/>
  <c r="E31" i="38"/>
  <c r="K31" i="6"/>
  <c r="H21" i="42" l="1"/>
  <c r="G21" i="42"/>
  <c r="H26" i="42"/>
  <c r="G26" i="42"/>
  <c r="H19" i="42"/>
  <c r="G19" i="42"/>
  <c r="G11" i="42"/>
  <c r="H11" i="42"/>
  <c r="H14" i="42"/>
  <c r="G14" i="42"/>
  <c r="G25" i="42"/>
  <c r="H25" i="42"/>
  <c r="G20" i="42"/>
  <c r="H20" i="42"/>
  <c r="H24" i="42"/>
  <c r="G24" i="42"/>
  <c r="G15" i="42"/>
  <c r="H15" i="42"/>
  <c r="H13" i="42"/>
  <c r="G13" i="42"/>
  <c r="H16" i="42"/>
  <c r="G16" i="42"/>
  <c r="G22" i="42"/>
  <c r="H22" i="42"/>
  <c r="H17" i="42"/>
  <c r="G17" i="42"/>
  <c r="H12" i="42"/>
  <c r="G12" i="42"/>
  <c r="H18" i="42"/>
  <c r="G18" i="42"/>
  <c r="G23" i="42"/>
  <c r="H23" i="42"/>
  <c r="H10" i="42"/>
  <c r="G10" i="42"/>
  <c r="H28" i="42"/>
  <c r="G28" i="42"/>
  <c r="H27" i="42"/>
  <c r="G27" i="42"/>
  <c r="G31" i="38"/>
  <c r="H18" i="38" s="1"/>
  <c r="I18" i="38" s="1"/>
  <c r="J18" i="38" s="1"/>
  <c r="F31" i="38"/>
  <c r="H16" i="38" l="1"/>
  <c r="I16" i="38" s="1"/>
  <c r="J16" i="38" s="1"/>
  <c r="K16" i="38" s="1"/>
  <c r="L16" i="38" s="1"/>
  <c r="H25" i="38"/>
  <c r="I25" i="38" s="1"/>
  <c r="J25" i="38" s="1"/>
  <c r="K25" i="38" s="1"/>
  <c r="L25" i="38" s="1"/>
  <c r="H26" i="38"/>
  <c r="I26" i="38" s="1"/>
  <c r="J26" i="38" s="1"/>
  <c r="H28" i="38"/>
  <c r="I28" i="38" s="1"/>
  <c r="J28" i="38" s="1"/>
  <c r="K28" i="38" s="1"/>
  <c r="L28" i="38" s="1"/>
  <c r="H29" i="38"/>
  <c r="I29" i="38" s="1"/>
  <c r="J29" i="38" s="1"/>
  <c r="K29" i="38" s="1"/>
  <c r="L29" i="38" s="1"/>
  <c r="H22" i="38"/>
  <c r="I22" i="38" s="1"/>
  <c r="J22" i="38" s="1"/>
  <c r="K22" i="38" s="1"/>
  <c r="L22" i="38" s="1"/>
  <c r="H27" i="38"/>
  <c r="I27" i="38" s="1"/>
  <c r="J27" i="38" s="1"/>
  <c r="H23" i="38"/>
  <c r="I23" i="38" s="1"/>
  <c r="J23" i="38" s="1"/>
  <c r="K23" i="38" s="1"/>
  <c r="L23" i="38" s="1"/>
  <c r="K18" i="38"/>
  <c r="L18" i="38" s="1"/>
  <c r="H24" i="38"/>
  <c r="I24" i="38" s="1"/>
  <c r="J24" i="38" s="1"/>
  <c r="H15" i="38"/>
  <c r="I15" i="38" s="1"/>
  <c r="J15" i="38" s="1"/>
  <c r="H17" i="38"/>
  <c r="I17" i="38" s="1"/>
  <c r="J17" i="38" s="1"/>
  <c r="H11" i="38"/>
  <c r="H13" i="38"/>
  <c r="I13" i="38" s="1"/>
  <c r="J13" i="38" s="1"/>
  <c r="H12" i="38"/>
  <c r="I12" i="38" s="1"/>
  <c r="J12" i="38" s="1"/>
  <c r="H20" i="38"/>
  <c r="I20" i="38" s="1"/>
  <c r="J20" i="38" s="1"/>
  <c r="H21" i="38"/>
  <c r="I21" i="38" s="1"/>
  <c r="J21" i="38" s="1"/>
  <c r="H14" i="38"/>
  <c r="I14" i="38" s="1"/>
  <c r="J14" i="38" s="1"/>
  <c r="H19" i="38"/>
  <c r="I19" i="38" s="1"/>
  <c r="J19" i="38" s="1"/>
  <c r="H30" i="38"/>
  <c r="I30" i="38" s="1"/>
  <c r="J30" i="38" s="1"/>
  <c r="K27" i="38" l="1"/>
  <c r="L27" i="38" s="1"/>
  <c r="K26" i="38"/>
  <c r="L26" i="38" s="1"/>
  <c r="K19" i="43"/>
  <c r="L19" i="43" s="1"/>
  <c r="J23" i="43"/>
  <c r="K21" i="38"/>
  <c r="L21" i="38" s="1"/>
  <c r="K14" i="38"/>
  <c r="L14" i="38" s="1"/>
  <c r="K13" i="38"/>
  <c r="L13" i="38" s="1"/>
  <c r="H31" i="38"/>
  <c r="I11" i="38"/>
  <c r="K17" i="38"/>
  <c r="L17" i="38" s="1"/>
  <c r="K30" i="38"/>
  <c r="L30" i="38" s="1"/>
  <c r="K20" i="38"/>
  <c r="L20" i="38" s="1"/>
  <c r="K15" i="38"/>
  <c r="L15" i="38" s="1"/>
  <c r="K19" i="38"/>
  <c r="L19" i="38" s="1"/>
  <c r="K12" i="38"/>
  <c r="L12" i="38" s="1"/>
  <c r="K24" i="38"/>
  <c r="L24" i="38" s="1"/>
  <c r="K23" i="43" l="1"/>
  <c r="L23" i="43" s="1"/>
  <c r="K22" i="42"/>
  <c r="L22" i="42" s="1"/>
  <c r="K16" i="42"/>
  <c r="L16" i="42" s="1"/>
  <c r="K21" i="42"/>
  <c r="L21" i="42" s="1"/>
  <c r="J23" i="42"/>
  <c r="N23" i="42" s="1"/>
  <c r="P23" i="42" s="1"/>
  <c r="K26" i="42"/>
  <c r="L26" i="42" s="1"/>
  <c r="K20" i="42"/>
  <c r="L20" i="42" s="1"/>
  <c r="J28" i="42"/>
  <c r="N28" i="42" s="1"/>
  <c r="P28" i="42" s="1"/>
  <c r="J18" i="42"/>
  <c r="N18" i="42" s="1"/>
  <c r="P18" i="42" s="1"/>
  <c r="K27" i="42"/>
  <c r="L27" i="42" s="1"/>
  <c r="J15" i="42"/>
  <c r="N15" i="42" s="1"/>
  <c r="P15" i="42" s="1"/>
  <c r="J19" i="43"/>
  <c r="K10" i="42"/>
  <c r="L10" i="42" s="1"/>
  <c r="J25" i="42"/>
  <c r="N25" i="42" s="1"/>
  <c r="P25" i="42" s="1"/>
  <c r="J11" i="43"/>
  <c r="K11" i="43"/>
  <c r="L11" i="43" s="1"/>
  <c r="J15" i="43"/>
  <c r="K15" i="43"/>
  <c r="L15" i="43" s="1"/>
  <c r="K9" i="43"/>
  <c r="L9" i="43" s="1"/>
  <c r="J9" i="43"/>
  <c r="K27" i="43"/>
  <c r="L27" i="43" s="1"/>
  <c r="J27" i="43"/>
  <c r="K21" i="43"/>
  <c r="L21" i="43" s="1"/>
  <c r="J21" i="43"/>
  <c r="K9" i="42"/>
  <c r="L9" i="42" s="1"/>
  <c r="J9" i="42"/>
  <c r="N9" i="42" s="1"/>
  <c r="P9" i="42" s="1"/>
  <c r="K14" i="43"/>
  <c r="L14" i="43" s="1"/>
  <c r="J14" i="43"/>
  <c r="K10" i="43"/>
  <c r="L10" i="43" s="1"/>
  <c r="J10" i="43"/>
  <c r="K25" i="43"/>
  <c r="L25" i="43" s="1"/>
  <c r="J25" i="43"/>
  <c r="J13" i="42"/>
  <c r="N13" i="42" s="1"/>
  <c r="P13" i="42" s="1"/>
  <c r="J28" i="43"/>
  <c r="K28" i="43"/>
  <c r="L28" i="43" s="1"/>
  <c r="J26" i="43"/>
  <c r="K26" i="43"/>
  <c r="L26" i="43" s="1"/>
  <c r="K18" i="43"/>
  <c r="L18" i="43" s="1"/>
  <c r="J18" i="43"/>
  <c r="J16" i="43"/>
  <c r="K16" i="43"/>
  <c r="L16" i="43" s="1"/>
  <c r="J20" i="43"/>
  <c r="K20" i="43"/>
  <c r="L20" i="43" s="1"/>
  <c r="J14" i="42"/>
  <c r="N14" i="42" s="1"/>
  <c r="P14" i="42" s="1"/>
  <c r="K24" i="42"/>
  <c r="L24" i="42" s="1"/>
  <c r="K17" i="42"/>
  <c r="L17" i="42" s="1"/>
  <c r="K13" i="43"/>
  <c r="L13" i="43" s="1"/>
  <c r="J13" i="43"/>
  <c r="K22" i="43"/>
  <c r="L22" i="43" s="1"/>
  <c r="J22" i="43"/>
  <c r="I31" i="38"/>
  <c r="J31" i="38" s="1"/>
  <c r="J11" i="38"/>
  <c r="K12" i="42"/>
  <c r="L12" i="42" s="1"/>
  <c r="J16" i="42"/>
  <c r="N16" i="42" s="1"/>
  <c r="P16" i="42" s="1"/>
  <c r="K19" i="42"/>
  <c r="L19" i="42" s="1"/>
  <c r="J19" i="42"/>
  <c r="N19" i="42" s="1"/>
  <c r="P19" i="42" s="1"/>
  <c r="K13" i="42"/>
  <c r="L13" i="42" s="1"/>
  <c r="J26" i="42"/>
  <c r="N26" i="42" s="1"/>
  <c r="P26" i="42" s="1"/>
  <c r="J20" i="42"/>
  <c r="N20" i="42" s="1"/>
  <c r="P20" i="42" s="1"/>
  <c r="J21" i="42"/>
  <c r="N21" i="42" s="1"/>
  <c r="P21" i="42" s="1"/>
  <c r="J11" i="42"/>
  <c r="N11" i="42" s="1"/>
  <c r="P11" i="42" s="1"/>
  <c r="K11" i="42"/>
  <c r="L11" i="42" s="1"/>
  <c r="K25" i="42"/>
  <c r="L25" i="42" s="1"/>
  <c r="J27" i="42"/>
  <c r="N27" i="42" s="1"/>
  <c r="P27" i="42" s="1"/>
  <c r="J22" i="42" l="1"/>
  <c r="N22" i="42" s="1"/>
  <c r="P22" i="42" s="1"/>
  <c r="K23" i="42"/>
  <c r="L23" i="42" s="1"/>
  <c r="K28" i="42"/>
  <c r="L28" i="42" s="1"/>
  <c r="K18" i="42"/>
  <c r="L18" i="42" s="1"/>
  <c r="J17" i="42"/>
  <c r="N17" i="42" s="1"/>
  <c r="P17" i="42" s="1"/>
  <c r="J24" i="42"/>
  <c r="N24" i="42" s="1"/>
  <c r="P24" i="42" s="1"/>
  <c r="K15" i="42"/>
  <c r="L15" i="42" s="1"/>
  <c r="J10" i="42"/>
  <c r="N10" i="42" s="1"/>
  <c r="P10" i="42" s="1"/>
  <c r="K14" i="42"/>
  <c r="L14" i="42" s="1"/>
  <c r="K17" i="43"/>
  <c r="L17" i="43" s="1"/>
  <c r="J17" i="43"/>
  <c r="J12" i="42"/>
  <c r="N12" i="42" s="1"/>
  <c r="P12" i="42" s="1"/>
  <c r="J24" i="43"/>
  <c r="K24" i="43"/>
  <c r="L24" i="43" s="1"/>
  <c r="K12" i="43"/>
  <c r="L12" i="43" s="1"/>
  <c r="J12" i="43"/>
  <c r="K11" i="38"/>
  <c r="L29" i="42" l="1"/>
  <c r="L11" i="38"/>
  <c r="L31" i="38" s="1"/>
  <c r="P29" i="42"/>
  <c r="L29" i="43"/>
  <c r="F31" i="6" l="1"/>
  <c r="G20" i="6" s="1"/>
  <c r="R20" i="6" s="1"/>
  <c r="S20" i="6" s="1"/>
  <c r="Z20" i="6" s="1"/>
  <c r="G28" i="6" l="1"/>
  <c r="G23" i="6"/>
  <c r="G15" i="6"/>
  <c r="G25" i="6"/>
  <c r="R25" i="6" s="1"/>
  <c r="S25" i="6" s="1"/>
  <c r="G22" i="6"/>
  <c r="G11" i="6"/>
  <c r="R11" i="6" s="1"/>
  <c r="G16" i="6"/>
  <c r="R16" i="6" s="1"/>
  <c r="S16" i="6" s="1"/>
  <c r="G17" i="6"/>
  <c r="G19" i="6"/>
  <c r="G27" i="6"/>
  <c r="R27" i="6" s="1"/>
  <c r="S27" i="6" s="1"/>
  <c r="G29" i="6"/>
  <c r="R29" i="6" s="1"/>
  <c r="S29" i="6" s="1"/>
  <c r="G12" i="6"/>
  <c r="G13" i="6"/>
  <c r="R13" i="6" s="1"/>
  <c r="S13" i="6" s="1"/>
  <c r="G30" i="6"/>
  <c r="R30" i="6" s="1"/>
  <c r="S30" i="6" s="1"/>
  <c r="G18" i="6"/>
  <c r="R18" i="6" s="1"/>
  <c r="S18" i="6" s="1"/>
  <c r="G26" i="6"/>
  <c r="G21" i="6"/>
  <c r="G14" i="6"/>
  <c r="G24" i="6"/>
  <c r="L20" i="6"/>
  <c r="G31" i="6"/>
  <c r="U13" i="6" l="1"/>
  <c r="Z13" i="6"/>
  <c r="U18" i="6"/>
  <c r="Z18" i="6"/>
  <c r="U29" i="6"/>
  <c r="Z29" i="6"/>
  <c r="U16" i="6"/>
  <c r="Z16" i="6"/>
  <c r="U25" i="6"/>
  <c r="Z25" i="6"/>
  <c r="U30" i="6"/>
  <c r="Z30" i="6"/>
  <c r="U27" i="6"/>
  <c r="Z27" i="6"/>
  <c r="L12" i="6"/>
  <c r="R12" i="6"/>
  <c r="S12" i="6" s="1"/>
  <c r="L17" i="6"/>
  <c r="R17" i="6"/>
  <c r="S17" i="6" s="1"/>
  <c r="L24" i="6"/>
  <c r="R24" i="6"/>
  <c r="S24" i="6" s="1"/>
  <c r="L15" i="6"/>
  <c r="R15" i="6"/>
  <c r="S15" i="6" s="1"/>
  <c r="L26" i="6"/>
  <c r="R26" i="6"/>
  <c r="S26" i="6" s="1"/>
  <c r="L14" i="6"/>
  <c r="R14" i="6"/>
  <c r="S14" i="6" s="1"/>
  <c r="S11" i="6"/>
  <c r="L23" i="6"/>
  <c r="R23" i="6"/>
  <c r="S23" i="6" s="1"/>
  <c r="L21" i="6"/>
  <c r="R21" i="6"/>
  <c r="S21" i="6" s="1"/>
  <c r="L19" i="6"/>
  <c r="R19" i="6"/>
  <c r="S19" i="6" s="1"/>
  <c r="L22" i="6"/>
  <c r="R22" i="6"/>
  <c r="S22" i="6" s="1"/>
  <c r="L28" i="6"/>
  <c r="R28" i="6"/>
  <c r="S28" i="6" s="1"/>
  <c r="L11" i="6"/>
  <c r="L30" i="6"/>
  <c r="L25" i="6"/>
  <c r="L29" i="6"/>
  <c r="L18" i="6"/>
  <c r="L27" i="6"/>
  <c r="L16" i="6"/>
  <c r="L13" i="6"/>
  <c r="L31" i="6" l="1"/>
  <c r="U28" i="6"/>
  <c r="Z28" i="6"/>
  <c r="U23" i="6"/>
  <c r="Z23" i="6"/>
  <c r="U26" i="6"/>
  <c r="Z26" i="6"/>
  <c r="U24" i="6"/>
  <c r="Z24" i="6"/>
  <c r="U22" i="6"/>
  <c r="Z22" i="6"/>
  <c r="U21" i="6"/>
  <c r="Z21" i="6"/>
  <c r="U11" i="6"/>
  <c r="Z11" i="6"/>
  <c r="U12" i="6"/>
  <c r="Z12" i="6"/>
  <c r="U14" i="6"/>
  <c r="Z14" i="6"/>
  <c r="U15" i="6"/>
  <c r="Z15" i="6"/>
  <c r="U17" i="6"/>
  <c r="Z17" i="6"/>
  <c r="U19" i="6"/>
  <c r="Z19" i="6"/>
  <c r="R31" i="6"/>
  <c r="S31" i="6" s="1"/>
  <c r="H31" i="6"/>
  <c r="P12" i="6" s="1"/>
  <c r="Q12" i="6" l="1"/>
  <c r="Z31" i="6"/>
  <c r="U31" i="6"/>
  <c r="P23" i="6" l="1"/>
  <c r="Q23" i="6"/>
  <c r="P27" i="6"/>
  <c r="Q27" i="6"/>
  <c r="P16" i="6"/>
  <c r="Q16" i="6"/>
  <c r="P22" i="6"/>
  <c r="Q22" i="6"/>
  <c r="P25" i="6"/>
  <c r="Q25" i="6"/>
  <c r="P24" i="6"/>
  <c r="Q24" i="6"/>
  <c r="P28" i="6"/>
  <c r="Q28" i="6"/>
  <c r="P30" i="6"/>
  <c r="Q30" i="6"/>
  <c r="P17" i="6"/>
  <c r="Q17" i="6"/>
  <c r="P21" i="6"/>
  <c r="Q21" i="6"/>
  <c r="P29" i="6"/>
  <c r="Q29" i="6"/>
  <c r="P20" i="6"/>
  <c r="Q20" i="6"/>
  <c r="P13" i="6"/>
  <c r="Q13" i="6"/>
  <c r="P14" i="6"/>
  <c r="Q14" i="6"/>
  <c r="P18" i="6"/>
  <c r="Q18" i="6"/>
  <c r="P11" i="6"/>
  <c r="Q11" i="6"/>
  <c r="P19" i="6"/>
  <c r="Q19" i="6"/>
  <c r="P26" i="6"/>
  <c r="Q26" i="6"/>
  <c r="P15" i="6"/>
  <c r="Q15" i="6"/>
  <c r="P31" i="6" l="1"/>
  <c r="Q31" i="6"/>
</calcChain>
</file>

<file path=xl/sharedStrings.xml><?xml version="1.0" encoding="utf-8"?>
<sst xmlns="http://schemas.openxmlformats.org/spreadsheetml/2006/main" count="1215" uniqueCount="377">
  <si>
    <t xml:space="preserve">Población </t>
  </si>
  <si>
    <t>(1)</t>
  </si>
  <si>
    <t>(2)</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</si>
  <si>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</si>
  <si>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</si>
  <si>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</si>
  <si>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</si>
  <si>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</si>
  <si>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</si>
  <si>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</si>
  <si>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</si>
  <si>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</si>
  <si>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</si>
  <si>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</si>
  <si>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</si>
  <si>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</si>
  <si>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</si>
  <si>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</si>
  <si>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Tecuala</t>
  </si>
  <si>
    <t>Tepic</t>
  </si>
  <si>
    <t>Tuxpan</t>
  </si>
  <si>
    <t>Xalisco</t>
  </si>
  <si>
    <t>Totales</t>
  </si>
  <si>
    <t>Santiago Ixcuintla</t>
  </si>
  <si>
    <t>(4)</t>
  </si>
  <si>
    <t>(3)</t>
  </si>
  <si>
    <t>MUNICIPIO</t>
  </si>
  <si>
    <t>PREDIAL</t>
  </si>
  <si>
    <t>AGUA</t>
  </si>
  <si>
    <t>TOTAL</t>
  </si>
  <si>
    <t>TEPIC</t>
  </si>
  <si>
    <t xml:space="preserve">ACAPONETA </t>
  </si>
  <si>
    <t>AMATLAN DE CAÑAS</t>
  </si>
  <si>
    <t>AHUACATLAN</t>
  </si>
  <si>
    <t>COMPOSTELA</t>
  </si>
  <si>
    <t>IXTLAN DEL RIO</t>
  </si>
  <si>
    <t>JALA</t>
  </si>
  <si>
    <t>ROSAMORADA</t>
  </si>
  <si>
    <t>RUIZ</t>
  </si>
  <si>
    <t>SAN BLAS</t>
  </si>
  <si>
    <t>STA. MARIA DEL ORO</t>
  </si>
  <si>
    <t>SANTIAGO IXCUINTLA</t>
  </si>
  <si>
    <t>TECUALA</t>
  </si>
  <si>
    <t>TUXPAN</t>
  </si>
  <si>
    <t>XALISCO</t>
  </si>
  <si>
    <t>BAHÍA DE BANDERAS</t>
  </si>
  <si>
    <t>LA YESCA</t>
  </si>
  <si>
    <t>HUAJICORI</t>
  </si>
  <si>
    <t>DEL NAYAR</t>
  </si>
  <si>
    <t>SAN PEDRO LAG.</t>
  </si>
  <si>
    <t>IMPORTE</t>
  </si>
  <si>
    <t>2014</t>
  </si>
  <si>
    <t>Distribuido</t>
  </si>
  <si>
    <t>en</t>
  </si>
  <si>
    <t>Relativa</t>
  </si>
  <si>
    <t>Absoluta</t>
  </si>
  <si>
    <t>Distribucion</t>
  </si>
  <si>
    <t>del FGP</t>
  </si>
  <si>
    <t>Coeficiente</t>
  </si>
  <si>
    <t>30%</t>
  </si>
  <si>
    <t>%</t>
  </si>
  <si>
    <t>FONDO GENERAL DE PARTICIPACIONES</t>
  </si>
  <si>
    <t>Recaudacion Agua Potable y Predial</t>
  </si>
  <si>
    <t>Coeficiente de Participacion</t>
  </si>
  <si>
    <t xml:space="preserve">de </t>
  </si>
  <si>
    <t>Participacion</t>
  </si>
  <si>
    <t>(5)</t>
  </si>
  <si>
    <t>Distribucion del FGP</t>
  </si>
  <si>
    <t>C 2</t>
  </si>
  <si>
    <t>Coeficiente 3</t>
  </si>
  <si>
    <t>Resarcitorio</t>
  </si>
  <si>
    <t>(6)</t>
  </si>
  <si>
    <t>FONDO DE FOMENTO MUNICIPAL</t>
  </si>
  <si>
    <t>Si</t>
  </si>
  <si>
    <t>No</t>
  </si>
  <si>
    <t>SI</t>
  </si>
  <si>
    <t>(7)</t>
  </si>
  <si>
    <t>(9)</t>
  </si>
  <si>
    <t>(10)</t>
  </si>
  <si>
    <t>35%</t>
  </si>
  <si>
    <t>Total Distribucion</t>
  </si>
  <si>
    <t>del crecimiento</t>
  </si>
  <si>
    <t>del F.F.M.</t>
  </si>
  <si>
    <t xml:space="preserve">FFM </t>
  </si>
  <si>
    <t>(5= 70%/2 x 4)</t>
  </si>
  <si>
    <t>(8=70%/2*7)</t>
  </si>
  <si>
    <t>(8)</t>
  </si>
  <si>
    <t>para el 2015</t>
  </si>
  <si>
    <t>Coeficiente 1</t>
  </si>
  <si>
    <t>Coeficiente 2</t>
  </si>
  <si>
    <t>Inverso en $</t>
  </si>
  <si>
    <t>resarcitoria</t>
  </si>
  <si>
    <t xml:space="preserve">Suma de </t>
  </si>
  <si>
    <t>Coeficientes</t>
  </si>
  <si>
    <t>Efectivo</t>
  </si>
  <si>
    <t>efectivo</t>
  </si>
  <si>
    <t>8</t>
  </si>
  <si>
    <t>2=(1*.60)</t>
  </si>
  <si>
    <t>6=(5*.10)</t>
  </si>
  <si>
    <t>4=(3*.30)</t>
  </si>
  <si>
    <t>7=(2+4+6)</t>
  </si>
  <si>
    <t xml:space="preserve">EN </t>
  </si>
  <si>
    <t>Cuadro 9</t>
  </si>
  <si>
    <t>(6 = 4*5)</t>
  </si>
  <si>
    <t>(7=(6/∑6)100)</t>
  </si>
  <si>
    <t>(4= 1*.70)</t>
  </si>
  <si>
    <t>$</t>
  </si>
  <si>
    <t>(9=2+8)</t>
  </si>
  <si>
    <t>Segunda parte del fondo 30% (relativa a Recaudación)</t>
  </si>
  <si>
    <t xml:space="preserve">Factor de Distribuciòn </t>
  </si>
  <si>
    <t>Primera parte del Coeficiente 60% (relativa a Poblaciòn)</t>
  </si>
  <si>
    <t>Porcentaje que representa</t>
  </si>
  <si>
    <t>Suma de Asignaciones</t>
  </si>
  <si>
    <t>de Participaciòn</t>
  </si>
  <si>
    <t xml:space="preserve">coeficiente </t>
  </si>
  <si>
    <t>Tercera parte del fondo 10% (relativa a Resarcitoria)</t>
  </si>
  <si>
    <t>2014/2013</t>
  </si>
  <si>
    <t>FONDO DE FISCALIZACION Y RECAUDACION</t>
  </si>
  <si>
    <t>FONDO DE COMPENSACION</t>
  </si>
  <si>
    <t>IMPUESTO ESPECIAL SOBRE PRODUCCION Y SERVICIOS</t>
  </si>
  <si>
    <t xml:space="preserve">COEFICIENTE </t>
  </si>
  <si>
    <t>EFECTIVO</t>
  </si>
  <si>
    <t>COMPONENTE SOLO PARA LOS QUE SUSCRIBIERON CONVENIO PARA EL COBRO DE PREDIAL</t>
  </si>
  <si>
    <t>NO</t>
  </si>
  <si>
    <t>FOCO</t>
  </si>
  <si>
    <t>IMPUESTO SOBRE AUTOMOVILES NUEVOS</t>
  </si>
  <si>
    <t>FONDO DE COMPENSACION DE ISAN</t>
  </si>
  <si>
    <r>
      <rPr>
        <sz val="48"/>
        <color rgb="FF30966D"/>
        <rFont val="Segoe UI Light"/>
        <family val="2"/>
      </rPr>
      <t>Bienvenido a Excel</t>
    </r>
  </si>
  <si>
    <r>
      <rPr>
        <sz val="10"/>
        <color theme="1" tint="0.14999847407452621"/>
        <rFont val="Segoe UI"/>
        <family val="2"/>
      </rPr>
      <t>Amanda.Pinto@northwindtraders.com</t>
    </r>
  </si>
  <si>
    <r>
      <rPr>
        <sz val="10"/>
        <color theme="1" tint="0.14999847407452621"/>
        <rFont val="Segoe UI"/>
        <family val="2"/>
      </rPr>
      <t>Yvnonne.McKay@northwindtraders.com</t>
    </r>
  </si>
  <si>
    <r>
      <rPr>
        <sz val="10"/>
        <color theme="1" tint="0.14999847407452621"/>
        <rFont val="Segoe UI"/>
        <family val="2"/>
      </rPr>
      <t>Amr.Zaki@northwindtraders.com</t>
    </r>
  </si>
  <si>
    <r>
      <rPr>
        <sz val="10"/>
        <color theme="1" tint="0.14999847407452621"/>
        <rFont val="Segoe UI"/>
        <family val="2"/>
      </rPr>
      <t>Gerwald.Oberleitner@northwindtraders.com</t>
    </r>
  </si>
  <si>
    <r>
      <rPr>
        <sz val="10"/>
        <color theme="1" tint="0.14999847407452621"/>
        <rFont val="Segoe UI"/>
        <family val="2"/>
      </rPr>
      <t>Manish.Chopra@northwindtraders.com</t>
    </r>
  </si>
  <si>
    <r>
      <rPr>
        <sz val="10"/>
        <color theme="1" tint="0.14999847407452621"/>
        <rFont val="Segoe UI"/>
        <family val="2"/>
      </rPr>
      <t>Kim.Shane@northwindtraders.com</t>
    </r>
  </si>
  <si>
    <r>
      <rPr>
        <sz val="10"/>
        <color theme="1" tint="0.14999847407452621"/>
        <rFont val="Segoe UI"/>
        <family val="2"/>
      </rPr>
      <t>Alexander.David@contoso.com</t>
    </r>
  </si>
  <si>
    <r>
      <rPr>
        <sz val="10"/>
        <color theme="1" tint="0.14999847407452621"/>
        <rFont val="Segoe UI"/>
        <family val="2"/>
      </rPr>
      <t>Anne.HL@northwindtraders.com</t>
    </r>
  </si>
  <si>
    <r>
      <rPr>
        <sz val="10"/>
        <color theme="1" tint="0.14999847407452621"/>
        <rFont val="Segoe UI"/>
        <family val="2"/>
      </rPr>
      <t>Laura.Giussani@adventure-works.com</t>
    </r>
  </si>
  <si>
    <r>
      <rPr>
        <sz val="10"/>
        <color theme="1" tint="0.14999847407452621"/>
        <rFont val="Segoe UI"/>
        <family val="2"/>
      </rPr>
      <t>Robert.Zare@northwindtraders.com</t>
    </r>
  </si>
  <si>
    <r>
      <rPr>
        <sz val="10"/>
        <color theme="1" tint="0.14999847407452621"/>
        <rFont val="Segoe UI"/>
        <family val="2"/>
      </rPr>
      <t>Michael.Neipper@northwindtraders.com</t>
    </r>
  </si>
  <si>
    <r>
      <rPr>
        <sz val="10"/>
        <color theme="1" tint="0.14999847407452621"/>
        <rFont val="Segoe UI"/>
        <family val="2"/>
      </rPr>
      <t>Steven.Thorpe@northwindtraders.com</t>
    </r>
  </si>
  <si>
    <r>
      <rPr>
        <sz val="10"/>
        <color theme="1" tint="0.14999847407452621"/>
        <rFont val="Segoe UI"/>
        <family val="2"/>
      </rPr>
      <t>Mariya.Sergienko@graphicdesigninstitute.com</t>
    </r>
  </si>
  <si>
    <r>
      <rPr>
        <sz val="10"/>
        <color theme="1" tint="0.14999847407452621"/>
        <rFont val="Segoe UI"/>
        <family val="2"/>
      </rPr>
      <t>Jan.Kotas@litwareinc.com</t>
    </r>
  </si>
  <si>
    <r>
      <rPr>
        <sz val="10"/>
        <color theme="1" tint="0.14999847407452621"/>
        <rFont val="Segoe UI"/>
        <family val="2"/>
      </rPr>
      <t>Andrew.Cencini@northwindtraders.com</t>
    </r>
  </si>
  <si>
    <r>
      <rPr>
        <sz val="10"/>
        <color theme="1" tint="0.14999847407452621"/>
        <rFont val="Segoe UI"/>
        <family val="2"/>
      </rPr>
      <t>Nancy.Freehafer@fourthcoffee.com</t>
    </r>
  </si>
  <si>
    <r>
      <rPr>
        <sz val="11"/>
        <color theme="1"/>
        <rFont val="Segoe UI"/>
        <family val="2"/>
      </rPr>
      <t>Nombre</t>
    </r>
  </si>
  <si>
    <r>
      <rPr>
        <sz val="11"/>
        <color theme="1"/>
        <rFont val="Segoe UI"/>
        <family val="2"/>
      </rPr>
      <t>Correo electrónico</t>
    </r>
  </si>
  <si>
    <r>
      <rPr>
        <sz val="12"/>
        <color theme="1" tint="0.14999847407452621"/>
        <rFont val="Segoe UI"/>
        <family val="2"/>
      </rPr>
      <t>Empiece a escribir y deje que Excel acabe el trabajo por usted</t>
    </r>
  </si>
  <si>
    <t>Más información</t>
  </si>
  <si>
    <r>
      <rPr>
        <sz val="32"/>
        <color rgb="FF30966D"/>
        <rFont val="Segoe UI Light"/>
        <family val="2"/>
      </rPr>
      <t>Rellene rápidamente sus datos</t>
    </r>
  </si>
  <si>
    <r>
      <rPr>
        <sz val="10"/>
        <color theme="1" tint="0.14999847407452621"/>
        <rFont val="Segoe UI"/>
        <family val="2"/>
      </rPr>
      <t>Viajes</t>
    </r>
  </si>
  <si>
    <r>
      <rPr>
        <sz val="10"/>
        <color theme="1" tint="0.14999847407452621"/>
        <rFont val="Segoe UI"/>
        <family val="2"/>
      </rPr>
      <t xml:space="preserve">Margie's Travel </t>
    </r>
  </si>
  <si>
    <r>
      <rPr>
        <sz val="10"/>
        <color theme="1" tint="0.14999847407452621"/>
        <rFont val="Segoe UI"/>
        <family val="2"/>
      </rPr>
      <t>Varios</t>
    </r>
  </si>
  <si>
    <r>
      <rPr>
        <sz val="10"/>
        <color theme="1" tint="0.14999847407452621"/>
        <rFont val="Segoe UI"/>
        <family val="2"/>
      </rPr>
      <t xml:space="preserve">Lucerne Publishing </t>
    </r>
  </si>
  <si>
    <r>
      <rPr>
        <sz val="10"/>
        <color theme="1" tint="0.14999847407452621"/>
        <rFont val="Segoe UI"/>
        <family val="2"/>
      </rPr>
      <t>Tecnología</t>
    </r>
  </si>
  <si>
    <r>
      <rPr>
        <sz val="10"/>
        <color theme="1" tint="0.14999847407452621"/>
        <rFont val="Segoe UI"/>
        <family val="2"/>
      </rPr>
      <t xml:space="preserve">Litware, Inc. </t>
    </r>
  </si>
  <si>
    <r>
      <rPr>
        <sz val="10"/>
        <color theme="1" tint="0.14999847407452621"/>
        <rFont val="Segoe UI"/>
        <family val="2"/>
      </rPr>
      <t>Finanzas</t>
    </r>
  </si>
  <si>
    <r>
      <rPr>
        <sz val="10"/>
        <color theme="1" tint="0.14999847407452621"/>
        <rFont val="Segoe UI"/>
        <family val="2"/>
      </rPr>
      <t>Humongous Insurance</t>
    </r>
  </si>
  <si>
    <r>
      <rPr>
        <sz val="10"/>
        <color theme="1" tint="0.14999847407452621"/>
        <rFont val="Segoe UI"/>
        <family val="2"/>
      </rPr>
      <t>Educación</t>
    </r>
  </si>
  <si>
    <r>
      <rPr>
        <sz val="10"/>
        <color theme="1" tint="0.14999847407452621"/>
        <rFont val="Segoe UI"/>
        <family val="2"/>
      </rPr>
      <t xml:space="preserve">Graphic Design Institute </t>
    </r>
  </si>
  <si>
    <r>
      <rPr>
        <sz val="10"/>
        <color theme="1" tint="0.14999847407452621"/>
        <rFont val="Segoe UI"/>
        <family val="2"/>
      </rPr>
      <t>Bebidas</t>
    </r>
  </si>
  <si>
    <r>
      <rPr>
        <sz val="10"/>
        <color theme="1" tint="0.14999847407452621"/>
        <rFont val="Segoe UI"/>
        <family val="2"/>
      </rPr>
      <t xml:space="preserve">Fourth Coffee </t>
    </r>
  </si>
  <si>
    <r>
      <rPr>
        <sz val="10"/>
        <color theme="1" tint="0.14999847407452621"/>
        <rFont val="Segoe UI"/>
        <family val="2"/>
      </rPr>
      <t>Servicios públicos</t>
    </r>
  </si>
  <si>
    <r>
      <rPr>
        <sz val="10"/>
        <color theme="1" tint="0.14999847407452621"/>
        <rFont val="Segoe UI"/>
        <family val="2"/>
      </rPr>
      <t xml:space="preserve">Fabrikam, Inc. </t>
    </r>
  </si>
  <si>
    <r>
      <rPr>
        <sz val="10"/>
        <color theme="1" tint="0.14999847407452621"/>
        <rFont val="Segoe UI"/>
        <family val="2"/>
      </rPr>
      <t xml:space="preserve">Consolidated Messenger </t>
    </r>
  </si>
  <si>
    <r>
      <rPr>
        <sz val="10"/>
        <color theme="1" tint="0.14999847407452621"/>
        <rFont val="Segoe UI"/>
        <family val="2"/>
      </rPr>
      <t>Médico</t>
    </r>
  </si>
  <si>
    <r>
      <rPr>
        <sz val="10"/>
        <color theme="1" tint="0.14999847407452621"/>
        <rFont val="Segoe UI"/>
        <family val="2"/>
      </rPr>
      <t xml:space="preserve">Contoso Pharmaceuticals </t>
    </r>
  </si>
  <si>
    <r>
      <rPr>
        <sz val="10"/>
        <color theme="1" tint="0.14999847407452621"/>
        <rFont val="Segoe UI"/>
        <family val="2"/>
      </rPr>
      <t xml:space="preserve">Contoso, Ltd </t>
    </r>
  </si>
  <si>
    <r>
      <rPr>
        <sz val="10"/>
        <color theme="1" tint="0.14999847407452621"/>
        <rFont val="Segoe UI"/>
        <family val="2"/>
      </rPr>
      <t xml:space="preserve">Coho Vineyard </t>
    </r>
  </si>
  <si>
    <r>
      <rPr>
        <sz val="10"/>
        <color theme="1" tint="0.14999847407452621"/>
        <rFont val="Segoe UI"/>
        <family val="2"/>
      </rPr>
      <t xml:space="preserve">City Power &amp; Light </t>
    </r>
  </si>
  <si>
    <r>
      <rPr>
        <sz val="10"/>
        <color theme="1" tint="0.14999847407452621"/>
        <rFont val="Segoe UI"/>
        <family val="2"/>
      </rPr>
      <t xml:space="preserve">Blue Yonder Airlines </t>
    </r>
  </si>
  <si>
    <r>
      <rPr>
        <sz val="10"/>
        <color theme="1" tint="0.14999847407452621"/>
        <rFont val="Segoe UI"/>
        <family val="2"/>
      </rPr>
      <t xml:space="preserve">Adventure Works </t>
    </r>
  </si>
  <si>
    <r>
      <rPr>
        <sz val="10"/>
        <color theme="1" tint="0.14999847407452621"/>
        <rFont val="Segoe UI"/>
        <family val="2"/>
      </rPr>
      <t xml:space="preserve">A. Datum Corporation </t>
    </r>
  </si>
  <si>
    <r>
      <rPr>
        <sz val="11"/>
        <color theme="1"/>
        <rFont val="Segoe UI"/>
        <family val="2"/>
      </rPr>
      <t>Ventas 2T</t>
    </r>
  </si>
  <si>
    <r>
      <rPr>
        <sz val="11"/>
        <color theme="1"/>
        <rFont val="Segoe UI"/>
        <family val="2"/>
      </rPr>
      <t>Ventas 1T</t>
    </r>
  </si>
  <si>
    <r>
      <rPr>
        <sz val="11"/>
        <color theme="1"/>
        <rFont val="Segoe UI"/>
        <family val="2"/>
      </rPr>
      <t>Sector</t>
    </r>
  </si>
  <si>
    <r>
      <rPr>
        <sz val="11"/>
        <color theme="1"/>
        <rFont val="Segoe UI"/>
        <family val="2"/>
      </rPr>
      <t>Compañía</t>
    </r>
  </si>
  <si>
    <r>
      <rPr>
        <sz val="12"/>
        <color theme="1" tint="0.14999847407452621"/>
        <rFont val="Segoe UI"/>
        <family val="2"/>
      </rPr>
      <t>Seleccione sus datos y juegue con ellos mediante vistas previas dinámicas</t>
    </r>
  </si>
  <si>
    <r>
      <rPr>
        <sz val="32"/>
        <color rgb="FF30966D"/>
        <rFont val="Segoe UI Light"/>
        <family val="2"/>
      </rPr>
      <t>Analice datos con Análisis rápido</t>
    </r>
  </si>
  <si>
    <r>
      <rPr>
        <sz val="12"/>
        <color theme="1" tint="0.14999847407452621"/>
        <rFont val="Segoe UI"/>
        <family val="2"/>
      </rPr>
      <t>Excel recomienda gráficos basados en los datos que introduzca.</t>
    </r>
  </si>
  <si>
    <r>
      <rPr>
        <sz val="32"/>
        <color rgb="FF30966D"/>
        <rFont val="Segoe UI Light"/>
        <family val="2"/>
      </rPr>
      <t>Grandes gráficos basados en sus datos</t>
    </r>
  </si>
  <si>
    <t>INFORMACION UTILIZADA PARA LA DETERMINACION DE LOS PORCENTAJES DE DISTRIBUCIÓN DE PARTIPACIONES</t>
  </si>
  <si>
    <t>SUMA DE COEFICIENTES  EFECTIVOS  PARA 2018</t>
  </si>
  <si>
    <t>PUBLICADO</t>
  </si>
  <si>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articulo 2 de la Ley de Coordinación Fiscal </t>
    </r>
  </si>
  <si>
    <t>modificado</t>
  </si>
  <si>
    <t>determinado</t>
  </si>
  <si>
    <t>corregido</t>
  </si>
  <si>
    <t>diferencia</t>
  </si>
  <si>
    <t>ff</t>
  </si>
  <si>
    <t>DIFERENCIA</t>
  </si>
  <si>
    <t>PIBLICADO</t>
  </si>
  <si>
    <t xml:space="preserve">CIFRAS VALIDADAS POR EL COMITÉ DE VIGILANCIA </t>
  </si>
  <si>
    <t>COEFICIENTE 1</t>
  </si>
  <si>
    <t>COEFICIENTE 2</t>
  </si>
  <si>
    <t>(4)(3=4/∑4)100</t>
  </si>
  <si>
    <t>(11)</t>
  </si>
  <si>
    <t>COEFICIENTE 3</t>
  </si>
  <si>
    <t>(17)</t>
  </si>
  <si>
    <t xml:space="preserve">ESTIMADO </t>
  </si>
  <si>
    <t>MUNICIPIOS</t>
  </si>
  <si>
    <t>(10)(9=10/∑10)100</t>
  </si>
  <si>
    <t>FUENTES.</t>
  </si>
  <si>
    <t>(12=30%*10)</t>
  </si>
  <si>
    <t>(13=5+8+11)</t>
  </si>
  <si>
    <t>(13=2+9+12)</t>
  </si>
  <si>
    <t>NOTA:</t>
  </si>
  <si>
    <t>CORRESPONDIENTE AL 10% DEL CRECIMIENTO          (18)</t>
  </si>
  <si>
    <t>Total                        (19)</t>
  </si>
  <si>
    <t>(5 = Inv de 1)</t>
  </si>
  <si>
    <t>(6=5/∑5)100</t>
  </si>
  <si>
    <t>(7=6*.30)</t>
  </si>
  <si>
    <t>(8= 4+7)</t>
  </si>
  <si>
    <t>(10=(2+9)</t>
  </si>
  <si>
    <t>Variación</t>
  </si>
  <si>
    <t>(9)(8/7)</t>
  </si>
  <si>
    <t>FUENTES:</t>
  </si>
  <si>
    <t xml:space="preserve"> POBLACION.- Encuesta Intercensal de 2015. publicada el 8 de diciembre en el Portal del Instituto Nacional de estadistica y Geografia (INEGI)</t>
  </si>
  <si>
    <t>CORRESPONDIENTE A LA RECAUDACION DEL IMPUESTO PREDIAL Y DERECHOS DE SUMINISTRO DE AGUA</t>
  </si>
  <si>
    <t>ANEXO I</t>
  </si>
  <si>
    <t>CALENDARIO DE ENTREGA DE PARTICIPACIONES FEDERALES A LOS MUNICIPIOS CORRESPONDIENTE AL EJERCICIO FISCAL 2018</t>
  </si>
  <si>
    <t>CALENDARIO DE ENTREGA PARA EL EJERCICIO FISCAL 2018</t>
  </si>
  <si>
    <t>MES</t>
  </si>
  <si>
    <t>FECHA LIMITE DE ENTREGA</t>
  </si>
  <si>
    <t>ENERO</t>
  </si>
  <si>
    <t>FEBRERO</t>
  </si>
  <si>
    <t>01</t>
  </si>
  <si>
    <t>08</t>
  </si>
  <si>
    <t>MARZO</t>
  </si>
  <si>
    <t>05</t>
  </si>
  <si>
    <t>07</t>
  </si>
  <si>
    <t>ABRIL</t>
  </si>
  <si>
    <t>04</t>
  </si>
  <si>
    <t>06</t>
  </si>
  <si>
    <t>MAYO</t>
  </si>
  <si>
    <t>03</t>
  </si>
  <si>
    <t>JUNIO</t>
  </si>
  <si>
    <t>JULIO</t>
  </si>
  <si>
    <t>02</t>
  </si>
  <si>
    <t>AGOSTO</t>
  </si>
  <si>
    <t>SEPTIEMBRE</t>
  </si>
  <si>
    <t>OCTUBRE</t>
  </si>
  <si>
    <t>NOVIEMBRE</t>
  </si>
  <si>
    <t>DICIEMBRE</t>
  </si>
  <si>
    <t>ENERO 2019</t>
  </si>
  <si>
    <t>IEPS GASOLINA Y DIESEL</t>
  </si>
  <si>
    <t>17</t>
  </si>
  <si>
    <t>19</t>
  </si>
  <si>
    <t>09</t>
  </si>
  <si>
    <t>20</t>
  </si>
  <si>
    <t>18</t>
  </si>
  <si>
    <t>FONDO DE COMPENSACIÓN DEL IMPUESTO SOBRE AUTOMOVILES NUEVOS</t>
  </si>
  <si>
    <t>IMPUESTO SOBRE TENENCIA O USO DE VEHÍCULOS E IMPUESTO SOBRE AUTOMOVILES NUEVOS</t>
  </si>
  <si>
    <t>ANEXO II</t>
  </si>
  <si>
    <t>PARTICIPACIONES FEDERALES QUE RECIBIRAN CADA UNO DE LOS VEINTE MUNICIPIOS DEL ESTADO DE NAYARIT EN EL EJERCICIO FISCAL 2018</t>
  </si>
  <si>
    <t>FONDO GENERAL DE PARTICIPACIONES (FGP)</t>
  </si>
  <si>
    <t>FONDO DE FOMENTO MUNICIPAL (FOMUN)</t>
  </si>
  <si>
    <t>IMPUESTO ESPECIAL SOBRE PRODUCCION Y SERVICIOS (IEPS)</t>
  </si>
  <si>
    <t>NUEVAS POTESTADES (GASOLINA Y DIESEL)</t>
  </si>
  <si>
    <t>FONDO DE FISCALIZACION Y RECAUDACION (FOFIR)</t>
  </si>
  <si>
    <t>FONDO DE COMPENSACION (FOCO)</t>
  </si>
  <si>
    <t>Fuente:</t>
  </si>
  <si>
    <t>Encuesta Intercensal 2015 Publicada en el Portal del INEGI el 08 de Diciembre de 2015</t>
  </si>
  <si>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artículo 2 de la Ley de Coordinación Fiscal </t>
    </r>
  </si>
  <si>
    <t>FACTORES 2018.- Decreto que determina los factores de Distribución de las participaciones federales que en ingresos corresponden a los Municipios de la Entidad, para el Ejercicio Fiscal 2018 Publicado el 23 de Diciembre de 2017. y</t>
  </si>
  <si>
    <t>FACTORES 2018.- Decreto que determina los Factores de Distribución de las Participaciones Federales que en ingresos corresponden a los Municipios de la Entidad, para el Ejercicio Fiscal 2018 Publicado el 23 de Diciembre de 2017. y</t>
  </si>
  <si>
    <t>Las cifras parciales pueden no coincidir con el total debido al redondeo</t>
  </si>
  <si>
    <t xml:space="preserve">ESTIMACION 2014.-  Acuerdo por el que se da a conocer el calendario entrega, porcentaje y montos estimados, que recibirán cada uno de los veinte Municipios del Estado de Nayarit, del Fondo General de Participaciones y del Fondo de Fomento Municipal para el ejercicio fiscal 2014 publicado el 14 de febrero de 2014
</t>
  </si>
  <si>
    <t xml:space="preserve">PREDIAL Y AGUA.- Cifras validadas de acuerdo con las reglas 17 al 20 de las reglas de validación de la información para el cálculo de los coeficientes de Distribución de las Participaciones Federales con base en el artículo 2 de la Ley de Coordinación Fiscal </t>
  </si>
  <si>
    <t>FACTORES 2018.- Decreto que determina los factores de distribución de las Participaciones Federales que en ingresos corresponden a los Municipios de la Entidad, para el Ejercicio Fiscal 2018 Publicado el 23 de Diciembre de 2017. y</t>
  </si>
  <si>
    <t xml:space="preserve">ESTIMACION 2014.-  Acuerdo por el que se da a conocer el calendario entrega, porcentaje y montos estimados, que recibirán cada uno de los veinte Municipios del Estado de Nayarit, del Fondo General de Participaciones y del Fondo de Fomento Municipal
para el ejercicio fiscal 2014 publicado el 14 de febrero de 2014
</t>
  </si>
  <si>
    <r>
      <t xml:space="preserve"> </t>
    </r>
    <r>
      <rPr>
        <i/>
        <sz val="9"/>
        <color theme="1"/>
        <rFont val="Calibri"/>
        <family val="2"/>
        <scheme val="minor"/>
      </rPr>
      <t>POBLACION</t>
    </r>
    <r>
      <rPr>
        <sz val="9"/>
        <color theme="1"/>
        <rFont val="Calibri"/>
        <family val="2"/>
        <scheme val="minor"/>
      </rPr>
      <t>.- Encuesta Intercensal de 2015. publicada el 8 de diciembre en el Portal del Instituto Nacional de estadistica y Geografía (INEGI)</t>
    </r>
  </si>
  <si>
    <r>
      <t>PREDIAL Y AGUA.-</t>
    </r>
    <r>
      <rPr>
        <sz val="9"/>
        <color theme="1"/>
        <rFont val="Calibri"/>
        <family val="2"/>
        <scheme val="minor"/>
      </rPr>
      <t xml:space="preserve">Cifras validadas de acuerdo con las reglas 17 al 20 de las reglas de validación de la información para el cálculo de los coeficientes de Distribución de las Participaciones Federales con base en el articulo 2 de la Ley de Coordinación Fiscal </t>
    </r>
  </si>
  <si>
    <t>Distribución conforme a lo señalado en el Artículo  15 del Decreto que determina los factores de Distribución de las Participaciones Federales que en Ingresos correponden a los Municipios de la Entidad, para el Ejercicio Fiscal 2018</t>
  </si>
  <si>
    <t>ESTIMACION:- Acuerdo por el que se da a conocer el porcentaje y montos estimados, que recibirán cada uno ded los veinte Municipios del Estado de Nayarit del Fondo de Fiscalización, Fondo de Compensación e Incentivo por Venta de Gasolina y Diesel, para el Ejercicio fiscal 2014 publicado el 19 de marzo de 2014.</t>
  </si>
  <si>
    <t>ESTIMACION:- Acuerdo por el que se da a conocer el porcentaje y montos estimados, que recibirán cada uno de los veinte Municipios del Estado de Nayarit del Fondo de Fiscalización, Fondo de Compensación e Incentivo por Venta de Gasolina y Diesel, para el Ejercicio fiscal 2014 publicado el 19 de marzo de 2014.</t>
  </si>
  <si>
    <t>ESTIMACION:- Acuerdo por el que se da a conocer el porcentaje y montos estimados, que recibirán cada uno de los veinte Municipios del Estado de Nayarit del Fondo de Fiscalización, Fondo de Compensación e Incentivo por Venta de Gasolina y Diesel, para el Ejercicio Fiscal 2014 publicado el 19 de marzo de 2014.</t>
  </si>
  <si>
    <t>Decreto  que reforma diversas disposiciones del Decreto que determina los factores de distribución de las Participaciones Federales que en ingresos corresponden a los Municipios de la Entidad, para el ejercicio fiscal 2018. Publicado el 25 de enero de 2018.</t>
  </si>
  <si>
    <r>
      <t xml:space="preserve"> </t>
    </r>
    <r>
      <rPr>
        <i/>
        <sz val="11"/>
        <color theme="1"/>
        <rFont val="Calibri"/>
        <family val="2"/>
        <scheme val="minor"/>
      </rPr>
      <t>POBLACION</t>
    </r>
    <r>
      <rPr>
        <sz val="11"/>
        <color theme="1"/>
        <rFont val="Calibri"/>
        <family val="2"/>
        <scheme val="minor"/>
      </rPr>
      <t xml:space="preserve">.- encuesta intercensal de 2015. publicada en el Portal del INEGI el 08 de diciembre de 2015. </t>
    </r>
  </si>
  <si>
    <t>Decreto  que reforma diversas disposiciones del Decreto que determina los factores de distribución de las participaciones federales que en ingresos corresponden a los Municipios de la Entidad, para el ejercicio fiscal 2018. Publicado el 25 de enero de 2018.</t>
  </si>
  <si>
    <t>Decreto  que reforma diversas disposiciones del Decreto que determina los Factores de Distribución de las Participaciones federales que en ingresos corresponden a los Municipios de la Entidad, para el ejercicio fiscal 2018. Publicado el 25 de enero de 2018.</t>
  </si>
  <si>
    <t>CALCULO DEL COEFICIENTE DE PARTICIPACION DEL FONDO GENERAL DE PARTICIPACIONES</t>
  </si>
  <si>
    <t>FACTOR DE DISTRIBUCION</t>
  </si>
  <si>
    <t>POBLACION</t>
  </si>
  <si>
    <t>INTERCENSAL 2015</t>
  </si>
  <si>
    <t>ABSOLUTA</t>
  </si>
  <si>
    <t>COEFICIENTE DE PARTICIPACION</t>
  </si>
  <si>
    <t>RELATIVA</t>
  </si>
  <si>
    <t>COEFICIENTE</t>
  </si>
  <si>
    <t>RECAUDACION DEL IMPUESTO PREDIAL Y DERECHOS DE SUMINISTRO DE AGUA</t>
  </si>
  <si>
    <t>SUMA DE ASIGNACIONES</t>
  </si>
  <si>
    <t>PORCENTAJE QUE REPRESENTA LOS COEFICIENTES C1 Y C2  (14)</t>
  </si>
  <si>
    <t>INVERSA PROPORCIONAL
 (15)</t>
  </si>
  <si>
    <t>PORCENTAJE QUE REPRESENTA LA INVERSA PROPORCIONAL         (16)</t>
  </si>
  <si>
    <t>COEFICIENTE RESARCITORIO EFECTIVO         10%</t>
  </si>
  <si>
    <t>TOTALES</t>
  </si>
  <si>
    <t>FACTOR DE</t>
  </si>
  <si>
    <t>DISTRIBUCION</t>
  </si>
  <si>
    <t>ESTIMADO</t>
  </si>
  <si>
    <t>No. DE</t>
  </si>
  <si>
    <t>HABITANTES</t>
  </si>
  <si>
    <t>X POBLACION</t>
  </si>
  <si>
    <t xml:space="preserve"> REC. DE PREDIAL Y AGUA</t>
  </si>
  <si>
    <t>DISTRIBUCION X</t>
  </si>
  <si>
    <t>PREDIAL Y AGUA</t>
  </si>
  <si>
    <t>TOTAL A DISTRIBUIR POR CRECIMIENTO         2018</t>
  </si>
  <si>
    <t>RECAUDACION PREDIAL</t>
  </si>
  <si>
    <t>POR PREDIAL</t>
  </si>
  <si>
    <t>FONDO DE</t>
  </si>
  <si>
    <t>FOMENTO</t>
  </si>
  <si>
    <t>MUNICIPAL</t>
  </si>
  <si>
    <t>DEL IEPS</t>
  </si>
  <si>
    <t>CALCULO DE LA DISTRIBUCION DEL CRECIMIENTO DEL FONDO DE FOMENTO MUNICIPAL</t>
  </si>
  <si>
    <t>CONVENIO</t>
  </si>
  <si>
    <t>COEFICIENTE DE PARTICIPACION RELATIVA</t>
  </si>
  <si>
    <t>CALCULO DE DISTRIBUCION DE PARTICIPACIONES A MUNICIPIOS DE IEPS (BEBIDAS, TABACO Y ALCOHOL)</t>
  </si>
  <si>
    <t>DISTRIBUIDO</t>
  </si>
  <si>
    <t>EN</t>
  </si>
  <si>
    <t>CALCULO DE DISTRIBUCION A MUNICIPIOS DE LA PARTICIPACION DEL FONDO DE FISCALIZACION Y RECAUDACION</t>
  </si>
  <si>
    <t>RECAUDACION PREDIAL Y AGUA</t>
  </si>
  <si>
    <t>ULTIMO EJERCICIO</t>
  </si>
  <si>
    <t>ESFUERZO RECAUDATORIO ULTIMO EJERCICIO</t>
  </si>
  <si>
    <t>RESULTADO</t>
  </si>
  <si>
    <t>VARIACION POR</t>
  </si>
  <si>
    <t>CRECIMIENTO DEL FOFIR</t>
  </si>
  <si>
    <t>DISTRIBUCION TOTAL DE FOFIR ENTRE MUNICIPIOS</t>
  </si>
  <si>
    <t>FACTOR DE DISTRIBUCION 2014</t>
  </si>
  <si>
    <t>DISTRIBUIDO EN 2014</t>
  </si>
  <si>
    <t>COMPONENTE DEL 70%</t>
  </si>
  <si>
    <t xml:space="preserve">FACTOR DE POBLACION FACTOR DIRECTO </t>
  </si>
  <si>
    <t>COEFICIENTE EFECTIVO POR POBLACION</t>
  </si>
  <si>
    <t>FACTOR INVERSO A LA POBLACION</t>
  </si>
  <si>
    <t>PORCENTAJE INVERSO</t>
  </si>
  <si>
    <t>COEFICIENTE EFECTIVO INVERSO A POBLACION (30%)</t>
  </si>
  <si>
    <t>COEFICIENTE EFECTIVO DE PARTICIPACION</t>
  </si>
  <si>
    <t>CRECIMIENTO DEL FOCO 2018</t>
  </si>
  <si>
    <t>DE</t>
  </si>
  <si>
    <t>A PARTICIPAR</t>
  </si>
  <si>
    <t>CALCULO DE DISTRIBUCION DE PARTICIPACIONES A LOS MUNICIPIOS DEL FONDO DE COMPENSACION</t>
  </si>
  <si>
    <t>EN TANTO EL ESTADO SEA BENEFICIARIO DE ESTE FONDO</t>
  </si>
  <si>
    <t>COMPONENTE DEL 30%</t>
  </si>
  <si>
    <t>DEL FGP</t>
  </si>
  <si>
    <t>DISTRIBUCION DEL C1</t>
  </si>
  <si>
    <t>DISTRIBUCION DEL C2</t>
  </si>
  <si>
    <t>DISTRIBUCION DEL C3</t>
  </si>
  <si>
    <t>DISTRIBUCION TOTAL</t>
  </si>
  <si>
    <t>CALCULO DE DISTRIBUCION DE PARTICIPACION A LOS MUNICIPIOS DEL FONDO DEL IMPUESTO SOBRE AUTOMOVILES NUEVOS</t>
  </si>
  <si>
    <t>CALCULO DE DISTRIBUCION DE PARTICIPACION A LOS MUNICIPIOS DEL IMPUESTO SOBRE AUTOMOVILES NUEVOS</t>
  </si>
  <si>
    <t>POBLACION                                2015</t>
  </si>
  <si>
    <t>ENCUESTA INTERCENSAL DE POBLACION Y VIVIENDA 2015</t>
  </si>
  <si>
    <t xml:space="preserve">CORRESPONDIENTE AL 60% DEL CRECIMIENTO        </t>
  </si>
  <si>
    <t>CORRESPONDIENTE AL 30% DEL CRECIMIENTO</t>
  </si>
  <si>
    <t xml:space="preserve"> (12)</t>
  </si>
  <si>
    <t>CRECIMIENTO EN EL IMPUESTO PARA 2018</t>
  </si>
  <si>
    <t>DISTRIBUCION PARA EL 2018</t>
  </si>
  <si>
    <t>GOBIERNO DEL ESTADO DE NAYARIT</t>
  </si>
  <si>
    <t>SECRETARIA DE ADMINISTRACION Y FINANZAS</t>
  </si>
  <si>
    <t>DIRECCION GENERAL DE PARTICIPACIONES FEDERALES</t>
  </si>
  <si>
    <t>DISTRIBUCIÓN A MUNICIPIOS POR PARTICIPACION FEDERAL DEL FONDO GENERAL DE PARTICIPACIONES  PARA EL EJERCICIO 2014</t>
  </si>
  <si>
    <t>FACTOR DE DISTRIB.</t>
  </si>
  <si>
    <t>ACAPONETA</t>
  </si>
  <si>
    <t xml:space="preserve">BAHIA DE </t>
  </si>
  <si>
    <t>EL NAYAR</t>
  </si>
  <si>
    <t>SAN PEDRO LAGS</t>
  </si>
  <si>
    <t>SANTA MA DEL ORO</t>
  </si>
  <si>
    <t>SANTIAGO</t>
  </si>
  <si>
    <t>T  O  T  A  L</t>
  </si>
  <si>
    <t xml:space="preserve">Las cifras parciales pueden no coincidir con el total debido al redondeo </t>
  </si>
  <si>
    <t>FUENTE:</t>
  </si>
  <si>
    <t>Acuerdo por el que se da a conocer el calendario entrega, porcentaje y montos estimados, que recibirán cada  uno de los veinte municipios del estado de Nayarit, del Fondo General de Participaciones y del Fondo de Fomento Municipal para el ejercicio fiscal 2014 publicado el 14 de febrero de 2014</t>
  </si>
  <si>
    <t>DISTRIBUCIÓN A MUNICIPIOS POR PARTICIPACION FEDERAL DEL FONDO DE FOMENTO MUNICIPAL PARA EL  EJERCICIO 2014</t>
  </si>
  <si>
    <t>DISTRIBUCIÓN A MUNICIPIOS  I.E.P.S. PARA EL EJERCICIO  2014</t>
  </si>
  <si>
    <t>Monto estimado conforme a Ley de Ingresos del estado Libre y Soberano de Nayarit Publicada y Distribuida conforme al Decreto que determinan los factores de Distribucón de las Participaciones y Aportaciones que en Ingresos Federales corresponden a los Municipios de la Entidad para el Ejercicio del año 2014. Publicado el 13 de Diciembre de 2013</t>
  </si>
  <si>
    <t>DISTRIBUCIÓN A MUNICIPIOS POR PARTICIPACION FEDERAL DEL FONDO DE FISCALIZACION PARA EL EJERCICIO 2014</t>
  </si>
  <si>
    <t xml:space="preserve">FUENTE. </t>
  </si>
  <si>
    <t>Acuerdo por el que se da a conocer el porcentaje y los montos estimados, que recibirán cada uno de los veinte municipios del Estado de Nayarit del Fondo de Fiscalización, Fondo de Compensación e Incentivo por Venta de Gasolina y Diesel para el Ejercicio Fiscal 2014. Publicado el 14 de marzo de 2014.</t>
  </si>
  <si>
    <t>DISTRIBUCIÓN A MUNICIPIOS POR PARTICIPACION FEDERAL DEL FONDO DE COMPENSACION EJERCICIO 2014</t>
  </si>
  <si>
    <t>DISTRIBUCIÓN A MUNICIPIOS  INCENTIVO POR VENTA DE GASOLINA Y DIESEL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</si>
</sst>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4" formatCode="_-&quot;$&quot;* #,##0.00_-;\-&quot;$&quot;* #,##0.00_-;_-&quot;$&quot;* &quot;-&quot;??_-;_-@_-"/>
    <numFmt numFmtId="164" formatCode="0.000000"/>
    <numFmt numFmtId="165" formatCode="#,##0.000000"/>
    <numFmt numFmtId="166" formatCode="#,##0.00_ ;\-#,##0.00\ "/>
    <numFmt numFmtId="167" formatCode="&quot;$&quot;#,##0.00"/>
    <numFmt numFmtId="168" formatCode="#,##0.0000000"/>
    <numFmt numFmtId="169" formatCode="#,##0_ ;\-#,##0\ "/>
    <numFmt numFmtId="170" formatCode="#,##0.000000_ ;\-#,##0.000000\ "/>
    <numFmt numFmtId="171" formatCode="_-&quot;$&quot;* #,##0.000_-;\-&quot;$&quot;* #,##0.000_-;_-&quot;$&quot;* &quot;-&quot;???_-;_-@_-"/>
    <numFmt numFmtId="172" formatCode="_-&quot;$&quot;* #,##0_-;\-&quot;$&quot;* #,##0_-;_-&quot;$&quot;* &quot;-&quot;??_-;_-@_-"/>
    <numFmt numFmtId="173" formatCode="_(&quot;$&quot;* #,##0.00_);_(&quot;$&quot;* \(#,##0.00\);_(&quot;$&quot;* &quot;-&quot;??_);_(@_)"/>
    <numFmt numFmtId="174" formatCode="_(&quot;$&quot;* #,##0_);_(&quot;$&quot;* \(#,##0\);_(&quot;$&quot;* &quot;-&quot;??_);_(@_)"/>
    <numFmt numFmtId="175" formatCode="_-* #,##0.00\ [$€-C0A]_-;\-* #,##0.00\ [$€-C0A]_-;_-* &quot;-&quot;??\ [$€-C0A]_-;_-@_-"/>
  </numFmts>
  <fonts count="4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rgb="FF000000"/>
      <name val="Arial"/>
      <family val="2"/>
    </font>
    <font>
      <b/>
      <sz val="11"/>
      <color theme="1"/>
      <name val="Calibri"/>
      <family val="2"/>
      <scheme val="minor"/>
    </font>
    <font>
      <b/>
      <sz val="12"/>
      <color theme="1"/>
      <name val="Arial"/>
      <family val="2"/>
    </font>
    <font>
      <b/>
      <sz val="8"/>
      <color theme="1"/>
      <name val="Arial"/>
      <family val="2"/>
    </font>
    <font>
      <b/>
      <sz val="10"/>
      <color theme="1"/>
      <name val="Arial"/>
      <family val="2"/>
    </font>
    <font>
      <sz val="10"/>
      <name val="Arial"/>
      <family val="2"/>
    </font>
    <font>
      <b/>
      <sz val="9"/>
      <color theme="1"/>
      <name val="Arial"/>
      <family val="2"/>
    </font>
    <font>
      <sz val="10"/>
      <color theme="1"/>
      <name val="Calibri"/>
      <family val="2"/>
      <scheme val="minor"/>
    </font>
    <font>
      <sz val="10"/>
      <name val="Segoe UI"/>
      <family val="2"/>
    </font>
    <font>
      <sz val="48"/>
      <color rgb="FF0B744D"/>
      <name val="Calibri"/>
      <family val="2"/>
      <scheme val="minor"/>
    </font>
    <font>
      <sz val="48"/>
      <color rgb="FF0B744D"/>
      <name val="Segoe UI Light"/>
      <family val="2"/>
    </font>
    <font>
      <sz val="48"/>
      <color rgb="FF30966D"/>
      <name val="Segoe UI Light"/>
      <family val="2"/>
    </font>
    <font>
      <sz val="9"/>
      <color theme="1" tint="0.14999847407452621"/>
      <name val="Segoe UI"/>
      <family val="2"/>
    </font>
    <font>
      <sz val="10"/>
      <color theme="1" tint="0.14999847407452621"/>
      <name val="Segoe UI"/>
      <family val="2"/>
    </font>
    <font>
      <sz val="11"/>
      <color theme="1"/>
      <name val="Segoe UI"/>
      <family val="2"/>
    </font>
    <font>
      <sz val="20"/>
      <color theme="1"/>
      <name val="Calibri"/>
      <family val="2"/>
      <scheme val="minor"/>
    </font>
    <font>
      <sz val="12"/>
      <color theme="1" tint="0.14999847407452621"/>
      <name val="Segoe UI"/>
      <family val="2"/>
    </font>
    <font>
      <u/>
      <sz val="11"/>
      <color theme="10"/>
      <name val="Calibri"/>
      <family val="2"/>
      <scheme val="minor"/>
    </font>
    <font>
      <u/>
      <sz val="12"/>
      <color theme="10"/>
      <name val="Segoe UI"/>
      <family val="2"/>
    </font>
    <font>
      <sz val="32"/>
      <color rgb="FF30966D"/>
      <name val="Segoe UI Light"/>
      <family val="2"/>
    </font>
    <font>
      <b/>
      <sz val="12"/>
      <color theme="1"/>
      <name val="Calibri"/>
      <family val="2"/>
      <scheme val="minor"/>
    </font>
    <font>
      <b/>
      <sz val="14"/>
      <color theme="1"/>
      <name val="Arial"/>
      <family val="2"/>
    </font>
    <font>
      <b/>
      <sz val="14"/>
      <color theme="1"/>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sz val="8"/>
      <color theme="1"/>
      <name val="Arial"/>
      <family val="2"/>
    </font>
    <font>
      <i/>
      <sz val="9"/>
      <color theme="1"/>
      <name val="Arial"/>
      <family val="2"/>
    </font>
    <font>
      <sz val="12"/>
      <color theme="1"/>
      <name val="Arial"/>
      <family val="2"/>
    </font>
    <font>
      <sz val="8"/>
      <color theme="1"/>
      <name val="Calibri"/>
      <family val="2"/>
      <scheme val="minor"/>
    </font>
    <font>
      <i/>
      <sz val="9"/>
      <color theme="1"/>
      <name val="Calibri"/>
      <family val="2"/>
      <scheme val="minor"/>
    </font>
    <font>
      <sz val="9"/>
      <color theme="1"/>
      <name val="Arial"/>
      <family val="2"/>
    </font>
    <font>
      <sz val="12"/>
      <color theme="1"/>
      <name val="Calibri"/>
      <family val="2"/>
      <scheme val="minor"/>
    </font>
    <font>
      <i/>
      <sz val="11"/>
      <color theme="1"/>
      <name val="Arial"/>
      <family val="2"/>
    </font>
    <font>
      <i/>
      <sz val="11"/>
      <color theme="1"/>
      <name val="Calibri"/>
      <family val="2"/>
    </font>
    <font>
      <b/>
      <sz val="12"/>
      <name val="Arial"/>
      <family val="2"/>
    </font>
    <font>
      <b/>
      <sz val="10"/>
      <name val="Arial"/>
      <family val="2"/>
    </font>
    <font>
      <b/>
      <sz val="9"/>
      <name val="Arial"/>
      <family val="2"/>
    </font>
    <font>
      <sz val="8"/>
      <name val="Arial"/>
      <family val="2"/>
    </font>
    <font>
      <b/>
      <sz val="8"/>
      <name val="Arial"/>
      <family val="2"/>
    </font>
    <font>
      <i/>
      <sz val="9"/>
      <color rgb="FF00000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s>
  <cellStyleXfs count="7">
    <xf numFmtId="0" fontId="0" fillId="0" borderId="0"/>
    <xf numFmtId="44" fontId="1" fillId="0" borderId="0" applyFont="0" applyFill="0" applyBorder="0" applyAlignment="0" applyProtection="0"/>
    <xf numFmtId="0" fontId="9" fillId="0" borderId="0"/>
    <xf numFmtId="0" fontId="21" fillId="0" borderId="0" applyNumberFormat="0" applyFill="0" applyBorder="0" applyAlignment="0" applyProtection="0"/>
    <xf numFmtId="173" fontId="1" fillId="0" borderId="0" applyFont="0" applyFill="0" applyBorder="0" applyAlignment="0" applyProtection="0"/>
    <xf numFmtId="0" fontId="9" fillId="0" borderId="0"/>
    <xf numFmtId="0" fontId="9" fillId="0" borderId="0"/>
  </cellStyleXfs>
  <cellXfs count="756">
    <xf numFmtId="0" fontId="0" fillId="0" borderId="0" xfId="0"/>
    <xf numFmtId="0" fontId="2" fillId="0" borderId="0" xfId="0" applyFont="1"/>
    <xf numFmtId="0" fontId="2" fillId="0" borderId="0" xfId="0" applyFont="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49" fontId="3" fillId="0" borderId="4" xfId="0" applyNumberFormat="1" applyFont="1" applyBorder="1" applyAlignment="1">
      <alignment horizontal="center"/>
    </xf>
    <xf numFmtId="4" fontId="2" fillId="0" borderId="0" xfId="0" applyNumberFormat="1" applyFont="1" applyBorder="1"/>
    <xf numFmtId="3" fontId="2" fillId="0" borderId="0" xfId="0" applyNumberFormat="1" applyFont="1" applyBorder="1"/>
    <xf numFmtId="3" fontId="2" fillId="0" borderId="1" xfId="0" applyNumberFormat="1" applyFont="1" applyBorder="1"/>
    <xf numFmtId="165" fontId="2" fillId="0" borderId="9" xfId="0" applyNumberFormat="1" applyFont="1" applyBorder="1"/>
    <xf numFmtId="0" fontId="2" fillId="0" borderId="0" xfId="0" applyFont="1" applyAlignment="1"/>
    <xf numFmtId="0" fontId="0" fillId="0" borderId="0" xfId="0" applyAlignment="1"/>
    <xf numFmtId="166" fontId="2" fillId="0" borderId="0" xfId="1" applyNumberFormat="1" applyFont="1" applyBorder="1"/>
    <xf numFmtId="165" fontId="2" fillId="0" borderId="6" xfId="0" applyNumberFormat="1" applyFont="1" applyBorder="1"/>
    <xf numFmtId="165" fontId="2" fillId="0" borderId="0" xfId="0" applyNumberFormat="1" applyFont="1" applyBorder="1"/>
    <xf numFmtId="2" fontId="0" fillId="0" borderId="0" xfId="0" applyNumberFormat="1"/>
    <xf numFmtId="4" fontId="2" fillId="0" borderId="0" xfId="0" applyNumberFormat="1" applyFont="1"/>
    <xf numFmtId="4" fontId="3" fillId="0" borderId="0" xfId="0" applyNumberFormat="1" applyFont="1"/>
    <xf numFmtId="165" fontId="2" fillId="0" borderId="0" xfId="0" applyNumberFormat="1" applyFont="1"/>
    <xf numFmtId="9" fontId="3" fillId="0" borderId="0" xfId="0" applyNumberFormat="1" applyFont="1" applyBorder="1" applyAlignment="1">
      <alignment horizontal="center"/>
    </xf>
    <xf numFmtId="3" fontId="4" fillId="0" borderId="0" xfId="0" applyNumberFormat="1" applyFont="1" applyBorder="1" applyAlignment="1">
      <alignment horizontal="right" vertical="center" wrapText="1"/>
    </xf>
    <xf numFmtId="4" fontId="2" fillId="0" borderId="1" xfId="0" applyNumberFormat="1" applyFont="1" applyBorder="1"/>
    <xf numFmtId="0" fontId="3" fillId="0" borderId="0" xfId="0" applyFont="1" applyBorder="1" applyAlignment="1"/>
    <xf numFmtId="0" fontId="2" fillId="0" borderId="0" xfId="0" applyFont="1" applyFill="1"/>
    <xf numFmtId="0" fontId="0" fillId="0" borderId="0" xfId="0" applyFill="1"/>
    <xf numFmtId="4" fontId="2" fillId="0" borderId="0" xfId="0" applyNumberFormat="1" applyFont="1" applyFill="1"/>
    <xf numFmtId="4" fontId="3" fillId="0" borderId="0" xfId="0" applyNumberFormat="1" applyFont="1" applyFill="1"/>
    <xf numFmtId="49" fontId="3" fillId="0" borderId="12" xfId="0" applyNumberFormat="1" applyFont="1" applyBorder="1" applyAlignment="1">
      <alignment horizontal="center"/>
    </xf>
    <xf numFmtId="0" fontId="2" fillId="0" borderId="0" xfId="0" applyFont="1" applyBorder="1" applyAlignment="1">
      <alignment horizontal="center" vertical="center"/>
    </xf>
    <xf numFmtId="0" fontId="2" fillId="0" borderId="0" xfId="0" applyFont="1" applyBorder="1"/>
    <xf numFmtId="49" fontId="3" fillId="0" borderId="3" xfId="0" applyNumberFormat="1" applyFont="1" applyBorder="1" applyAlignment="1">
      <alignment horizontal="center"/>
    </xf>
    <xf numFmtId="0" fontId="3" fillId="0" borderId="0" xfId="0" applyFont="1" applyFill="1" applyBorder="1" applyAlignment="1">
      <alignment horizontal="center"/>
    </xf>
    <xf numFmtId="0" fontId="2" fillId="0" borderId="0" xfId="0" applyFont="1" applyFill="1" applyBorder="1" applyAlignment="1">
      <alignment horizontal="center"/>
    </xf>
    <xf numFmtId="44" fontId="2" fillId="0" borderId="0" xfId="0" applyNumberFormat="1" applyFont="1"/>
    <xf numFmtId="0" fontId="2" fillId="0" borderId="0" xfId="0" applyFont="1" applyFill="1" applyBorder="1"/>
    <xf numFmtId="4" fontId="0" fillId="0" borderId="0" xfId="0" applyNumberFormat="1"/>
    <xf numFmtId="0" fontId="0" fillId="0" borderId="1" xfId="0" applyBorder="1"/>
    <xf numFmtId="49" fontId="3" fillId="0" borderId="0" xfId="0" applyNumberFormat="1" applyFont="1" applyBorder="1" applyAlignment="1">
      <alignment horizontal="center"/>
    </xf>
    <xf numFmtId="165" fontId="3" fillId="0" borderId="0" xfId="0" applyNumberFormat="1" applyFont="1" applyBorder="1"/>
    <xf numFmtId="0" fontId="2" fillId="0" borderId="0" xfId="0" applyFont="1" applyBorder="1" applyAlignment="1">
      <alignment horizontal="center"/>
    </xf>
    <xf numFmtId="4" fontId="2" fillId="0" borderId="0" xfId="0" applyNumberFormat="1" applyFont="1" applyAlignment="1"/>
    <xf numFmtId="0" fontId="0" fillId="0" borderId="0" xfId="0" applyBorder="1"/>
    <xf numFmtId="44" fontId="3" fillId="0" borderId="0" xfId="0" applyNumberFormat="1" applyFont="1" applyFill="1" applyBorder="1" applyAlignment="1">
      <alignment horizontal="center"/>
    </xf>
    <xf numFmtId="2" fontId="0" fillId="0" borderId="0" xfId="0" applyNumberFormat="1" applyBorder="1"/>
    <xf numFmtId="44" fontId="3" fillId="0" borderId="0" xfId="1" applyFont="1" applyBorder="1"/>
    <xf numFmtId="167" fontId="3" fillId="0" borderId="0" xfId="0" applyNumberFormat="1" applyFont="1" applyBorder="1"/>
    <xf numFmtId="3" fontId="3" fillId="0" borderId="0" xfId="0" applyNumberFormat="1" applyFont="1" applyBorder="1"/>
    <xf numFmtId="44" fontId="2" fillId="0" borderId="3" xfId="1" applyFont="1" applyBorder="1"/>
    <xf numFmtId="44" fontId="2" fillId="0" borderId="1" xfId="1" applyFont="1" applyBorder="1"/>
    <xf numFmtId="0" fontId="2" fillId="0" borderId="21" xfId="0" applyFont="1" applyBorder="1"/>
    <xf numFmtId="164" fontId="2" fillId="0" borderId="0" xfId="0" applyNumberFormat="1" applyFont="1" applyBorder="1"/>
    <xf numFmtId="0" fontId="2" fillId="0" borderId="23" xfId="0" applyFont="1" applyBorder="1"/>
    <xf numFmtId="0" fontId="2" fillId="0" borderId="39" xfId="0" applyFont="1" applyBorder="1"/>
    <xf numFmtId="4" fontId="3" fillId="0" borderId="43" xfId="0" applyNumberFormat="1" applyFont="1" applyBorder="1"/>
    <xf numFmtId="2" fontId="3" fillId="0" borderId="43" xfId="0" applyNumberFormat="1" applyFont="1" applyBorder="1"/>
    <xf numFmtId="3" fontId="3" fillId="0" borderId="43" xfId="0" applyNumberFormat="1" applyFont="1" applyBorder="1"/>
    <xf numFmtId="0" fontId="3" fillId="0" borderId="16" xfId="0" applyFont="1" applyBorder="1"/>
    <xf numFmtId="166" fontId="2" fillId="0" borderId="26" xfId="1" applyNumberFormat="1" applyFont="1" applyBorder="1" applyAlignment="1">
      <alignment horizontal="center"/>
    </xf>
    <xf numFmtId="166" fontId="2" fillId="0" borderId="27" xfId="1" applyNumberFormat="1" applyFont="1" applyBorder="1" applyAlignment="1">
      <alignment horizontal="center"/>
    </xf>
    <xf numFmtId="166" fontId="2" fillId="0" borderId="28" xfId="1" applyNumberFormat="1" applyFont="1" applyBorder="1" applyAlignment="1">
      <alignment horizontal="center"/>
    </xf>
    <xf numFmtId="166" fontId="3" fillId="0" borderId="20" xfId="1" applyNumberFormat="1"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49" fontId="3" fillId="0" borderId="27" xfId="0" applyNumberFormat="1" applyFont="1" applyBorder="1" applyAlignment="1">
      <alignment horizontal="center"/>
    </xf>
    <xf numFmtId="49" fontId="3" fillId="0" borderId="28" xfId="0" applyNumberFormat="1" applyFont="1" applyBorder="1" applyAlignment="1">
      <alignment horizontal="center"/>
    </xf>
    <xf numFmtId="0" fontId="3" fillId="0" borderId="25" xfId="0" applyFont="1" applyBorder="1" applyAlignment="1">
      <alignment horizontal="center"/>
    </xf>
    <xf numFmtId="49" fontId="3" fillId="0" borderId="39" xfId="0" applyNumberFormat="1" applyFont="1" applyBorder="1" applyAlignment="1">
      <alignment horizontal="center"/>
    </xf>
    <xf numFmtId="3" fontId="3" fillId="0" borderId="20" xfId="0" applyNumberFormat="1" applyFont="1" applyBorder="1"/>
    <xf numFmtId="164" fontId="2" fillId="0" borderId="0" xfId="0" applyNumberFormat="1" applyFont="1"/>
    <xf numFmtId="3" fontId="2" fillId="0" borderId="26" xfId="0" applyNumberFormat="1" applyFont="1" applyFill="1" applyBorder="1"/>
    <xf numFmtId="3" fontId="2" fillId="0" borderId="27" xfId="0" applyNumberFormat="1" applyFont="1" applyFill="1" applyBorder="1"/>
    <xf numFmtId="0" fontId="3" fillId="0" borderId="26" xfId="0" applyFont="1" applyFill="1" applyBorder="1" applyAlignment="1">
      <alignment horizontal="center"/>
    </xf>
    <xf numFmtId="0" fontId="3" fillId="0" borderId="27" xfId="0" applyFont="1" applyFill="1" applyBorder="1" applyAlignment="1">
      <alignment horizontal="center"/>
    </xf>
    <xf numFmtId="165" fontId="2" fillId="0" borderId="0" xfId="0" applyNumberFormat="1" applyFont="1" applyFill="1" applyBorder="1"/>
    <xf numFmtId="0" fontId="2" fillId="0" borderId="23" xfId="0" applyFont="1" applyFill="1" applyBorder="1"/>
    <xf numFmtId="49" fontId="3" fillId="0" borderId="27" xfId="0" applyNumberFormat="1" applyFont="1" applyFill="1" applyBorder="1" applyAlignment="1">
      <alignment horizontal="center"/>
    </xf>
    <xf numFmtId="49" fontId="3" fillId="0" borderId="23" xfId="0" applyNumberFormat="1" applyFont="1" applyFill="1" applyBorder="1" applyAlignment="1">
      <alignment horizontal="center"/>
    </xf>
    <xf numFmtId="0" fontId="3" fillId="0" borderId="16" xfId="0" applyFont="1" applyFill="1" applyBorder="1"/>
    <xf numFmtId="166" fontId="3" fillId="0" borderId="20" xfId="1" applyNumberFormat="1" applyFont="1" applyFill="1" applyBorder="1" applyAlignment="1">
      <alignment horizontal="center"/>
    </xf>
    <xf numFmtId="165" fontId="3" fillId="0" borderId="19" xfId="0" applyNumberFormat="1" applyFont="1" applyFill="1" applyBorder="1"/>
    <xf numFmtId="0" fontId="3" fillId="0" borderId="0" xfId="0" applyFont="1" applyAlignment="1">
      <alignment horizontal="center"/>
    </xf>
    <xf numFmtId="169" fontId="3" fillId="0" borderId="26" xfId="0" applyNumberFormat="1" applyFont="1" applyFill="1" applyBorder="1" applyAlignment="1">
      <alignment horizontal="right"/>
    </xf>
    <xf numFmtId="169" fontId="3" fillId="0" borderId="27" xfId="0" applyNumberFormat="1" applyFont="1" applyFill="1" applyBorder="1" applyAlignment="1">
      <alignment horizontal="right"/>
    </xf>
    <xf numFmtId="3" fontId="2" fillId="0" borderId="0" xfId="0" applyNumberFormat="1" applyFont="1" applyBorder="1" applyAlignment="1">
      <alignment horizontal="right"/>
    </xf>
    <xf numFmtId="3" fontId="2" fillId="0" borderId="27" xfId="0" applyNumberFormat="1" applyFont="1" applyBorder="1" applyAlignment="1">
      <alignment horizontal="right"/>
    </xf>
    <xf numFmtId="3" fontId="3" fillId="0" borderId="16" xfId="0" applyNumberFormat="1" applyFont="1" applyBorder="1" applyAlignment="1">
      <alignment horizontal="right"/>
    </xf>
    <xf numFmtId="49" fontId="3" fillId="0" borderId="28" xfId="0" applyNumberFormat="1" applyFont="1" applyFill="1" applyBorder="1" applyAlignment="1">
      <alignment horizontal="center"/>
    </xf>
    <xf numFmtId="0" fontId="2" fillId="0" borderId="27" xfId="0" applyFont="1" applyBorder="1"/>
    <xf numFmtId="0" fontId="3" fillId="0" borderId="20" xfId="0" applyFont="1" applyBorder="1"/>
    <xf numFmtId="3" fontId="2" fillId="0" borderId="27" xfId="0" applyNumberFormat="1" applyFont="1" applyBorder="1"/>
    <xf numFmtId="49" fontId="3" fillId="0" borderId="23" xfId="0" applyNumberFormat="1" applyFont="1" applyBorder="1" applyAlignment="1">
      <alignment horizontal="center"/>
    </xf>
    <xf numFmtId="169" fontId="0" fillId="0" borderId="0" xfId="0" applyNumberFormat="1"/>
    <xf numFmtId="3" fontId="2" fillId="0" borderId="26" xfId="0" applyNumberFormat="1" applyFont="1" applyBorder="1"/>
    <xf numFmtId="3" fontId="4" fillId="0" borderId="27" xfId="0" applyNumberFormat="1" applyFont="1" applyBorder="1" applyAlignment="1">
      <alignment horizontal="right" vertical="center" wrapText="1"/>
    </xf>
    <xf numFmtId="164" fontId="2" fillId="0" borderId="1" xfId="0" applyNumberFormat="1" applyFont="1" applyBorder="1"/>
    <xf numFmtId="3" fontId="4" fillId="0" borderId="1" xfId="0" applyNumberFormat="1" applyFont="1" applyBorder="1" applyAlignment="1">
      <alignment horizontal="right" vertical="center" wrapText="1"/>
    </xf>
    <xf numFmtId="3" fontId="2" fillId="0" borderId="28" xfId="0" applyNumberFormat="1" applyFont="1" applyBorder="1"/>
    <xf numFmtId="165" fontId="2" fillId="0" borderId="1" xfId="0" applyNumberFormat="1" applyFont="1" applyBorder="1"/>
    <xf numFmtId="169" fontId="2" fillId="0" borderId="1" xfId="0" applyNumberFormat="1" applyFont="1" applyBorder="1"/>
    <xf numFmtId="0" fontId="2" fillId="0" borderId="0" xfId="0" applyFont="1" applyFill="1" applyAlignment="1">
      <alignment horizontal="center"/>
    </xf>
    <xf numFmtId="169" fontId="2" fillId="2" borderId="1" xfId="1" applyNumberFormat="1" applyFont="1" applyFill="1" applyBorder="1"/>
    <xf numFmtId="169" fontId="2" fillId="2" borderId="1" xfId="0" applyNumberFormat="1" applyFont="1" applyFill="1" applyBorder="1" applyAlignment="1">
      <alignment horizontal="right"/>
    </xf>
    <xf numFmtId="164" fontId="0" fillId="0" borderId="0" xfId="0" applyNumberFormat="1"/>
    <xf numFmtId="169" fontId="3" fillId="0" borderId="20" xfId="0" applyNumberFormat="1" applyFont="1" applyFill="1" applyBorder="1" applyAlignment="1">
      <alignment horizontal="right"/>
    </xf>
    <xf numFmtId="165" fontId="0" fillId="0" borderId="0" xfId="0" applyNumberFormat="1"/>
    <xf numFmtId="2" fontId="3" fillId="0" borderId="1" xfId="0" applyNumberFormat="1" applyFont="1" applyBorder="1" applyAlignment="1">
      <alignment horizontal="center"/>
    </xf>
    <xf numFmtId="0" fontId="3" fillId="2" borderId="1" xfId="0" applyFont="1" applyFill="1" applyBorder="1" applyAlignment="1">
      <alignment horizontal="center"/>
    </xf>
    <xf numFmtId="165" fontId="2" fillId="0" borderId="4" xfId="0" applyNumberFormat="1" applyFont="1" applyBorder="1"/>
    <xf numFmtId="169" fontId="2" fillId="0" borderId="4" xfId="0" applyNumberFormat="1" applyFont="1" applyBorder="1"/>
    <xf numFmtId="0" fontId="0" fillId="0" borderId="25" xfId="0" applyBorder="1"/>
    <xf numFmtId="0" fontId="0" fillId="0" borderId="26" xfId="0" applyFill="1" applyBorder="1"/>
    <xf numFmtId="3" fontId="2" fillId="0" borderId="1" xfId="0" applyNumberFormat="1" applyFont="1" applyFill="1" applyBorder="1"/>
    <xf numFmtId="3" fontId="3" fillId="0" borderId="1" xfId="0" applyNumberFormat="1" applyFont="1" applyFill="1" applyBorder="1"/>
    <xf numFmtId="3" fontId="2" fillId="0" borderId="5" xfId="0" applyNumberFormat="1" applyFont="1" applyBorder="1"/>
    <xf numFmtId="3" fontId="3" fillId="0" borderId="20" xfId="0" applyNumberFormat="1" applyFont="1" applyFill="1" applyBorder="1"/>
    <xf numFmtId="166" fontId="2" fillId="0" borderId="23" xfId="1" applyNumberFormat="1" applyFont="1" applyFill="1" applyBorder="1" applyAlignment="1">
      <alignment horizontal="center"/>
    </xf>
    <xf numFmtId="0" fontId="3" fillId="0" borderId="14" xfId="0" applyFont="1" applyBorder="1" applyAlignment="1">
      <alignment horizontal="center"/>
    </xf>
    <xf numFmtId="0" fontId="5" fillId="0" borderId="0" xfId="0" applyFont="1"/>
    <xf numFmtId="0" fontId="3" fillId="0" borderId="1" xfId="0" applyFont="1" applyFill="1" applyBorder="1" applyAlignment="1">
      <alignment horizontal="center"/>
    </xf>
    <xf numFmtId="0" fontId="3" fillId="0" borderId="1" xfId="0" applyFont="1" applyFill="1" applyBorder="1"/>
    <xf numFmtId="3" fontId="2" fillId="0" borderId="14" xfId="0" applyNumberFormat="1" applyFont="1" applyBorder="1"/>
    <xf numFmtId="169" fontId="2" fillId="2" borderId="4" xfId="1" applyNumberFormat="1" applyFont="1" applyFill="1" applyBorder="1"/>
    <xf numFmtId="164" fontId="2" fillId="0" borderId="4" xfId="0" applyNumberFormat="1" applyFont="1" applyBorder="1"/>
    <xf numFmtId="3" fontId="2" fillId="0" borderId="4" xfId="0" applyNumberFormat="1" applyFont="1" applyBorder="1"/>
    <xf numFmtId="169" fontId="2" fillId="2" borderId="4" xfId="0" applyNumberFormat="1" applyFont="1" applyFill="1" applyBorder="1" applyAlignment="1">
      <alignment horizontal="right"/>
    </xf>
    <xf numFmtId="3" fontId="2" fillId="0" borderId="15" xfId="0" applyNumberFormat="1" applyFont="1" applyBorder="1"/>
    <xf numFmtId="0" fontId="0" fillId="0" borderId="25" xfId="0" applyBorder="1" applyAlignment="1">
      <alignment horizontal="center"/>
    </xf>
    <xf numFmtId="49" fontId="3" fillId="0" borderId="57" xfId="0" applyNumberFormat="1" applyFont="1" applyBorder="1" applyAlignment="1">
      <alignment horizontal="center"/>
    </xf>
    <xf numFmtId="0" fontId="3" fillId="0" borderId="57" xfId="0" applyFont="1" applyBorder="1" applyAlignment="1">
      <alignment horizontal="center"/>
    </xf>
    <xf numFmtId="9" fontId="3" fillId="0" borderId="57" xfId="0" applyNumberFormat="1" applyFont="1" applyBorder="1" applyAlignment="1">
      <alignment horizontal="center"/>
    </xf>
    <xf numFmtId="9" fontId="3" fillId="2" borderId="57" xfId="0" applyNumberFormat="1" applyFont="1" applyFill="1" applyBorder="1" applyAlignment="1">
      <alignment horizontal="center"/>
    </xf>
    <xf numFmtId="0" fontId="3" fillId="0" borderId="34" xfId="0" applyFont="1" applyBorder="1" applyAlignment="1">
      <alignment horizontal="center"/>
    </xf>
    <xf numFmtId="166" fontId="2" fillId="0" borderId="10" xfId="1" applyNumberFormat="1" applyFont="1" applyBorder="1" applyAlignment="1">
      <alignment horizontal="center"/>
    </xf>
    <xf numFmtId="166" fontId="2" fillId="0" borderId="11" xfId="1" applyNumberFormat="1" applyFont="1" applyBorder="1" applyAlignment="1">
      <alignment horizontal="center"/>
    </xf>
    <xf numFmtId="0" fontId="2" fillId="0" borderId="68" xfId="0" applyFont="1" applyBorder="1"/>
    <xf numFmtId="0" fontId="2" fillId="0" borderId="69" xfId="0" applyFont="1" applyBorder="1"/>
    <xf numFmtId="0" fontId="2" fillId="0" borderId="70" xfId="0" applyFont="1" applyBorder="1"/>
    <xf numFmtId="166" fontId="2" fillId="0" borderId="7" xfId="1" applyNumberFormat="1" applyFont="1" applyBorder="1" applyAlignment="1">
      <alignment horizontal="center"/>
    </xf>
    <xf numFmtId="169" fontId="2" fillId="2" borderId="2" xfId="1" applyNumberFormat="1" applyFont="1" applyFill="1" applyBorder="1"/>
    <xf numFmtId="164" fontId="2" fillId="0" borderId="2" xfId="0" applyNumberFormat="1" applyFont="1" applyBorder="1"/>
    <xf numFmtId="3" fontId="2" fillId="0" borderId="2" xfId="0" applyNumberFormat="1" applyFont="1" applyBorder="1"/>
    <xf numFmtId="165" fontId="2" fillId="0" borderId="2" xfId="0" applyNumberFormat="1" applyFont="1" applyBorder="1"/>
    <xf numFmtId="169" fontId="2" fillId="2" borderId="2" xfId="0" applyNumberFormat="1" applyFont="1" applyFill="1" applyBorder="1" applyAlignment="1">
      <alignment horizontal="right"/>
    </xf>
    <xf numFmtId="169" fontId="2" fillId="0" borderId="2" xfId="0" applyNumberFormat="1" applyFont="1" applyBorder="1"/>
    <xf numFmtId="166" fontId="3" fillId="0" borderId="45" xfId="1" applyNumberFormat="1" applyFont="1" applyBorder="1" applyAlignment="1">
      <alignment horizontal="center"/>
    </xf>
    <xf numFmtId="169" fontId="3" fillId="2" borderId="43" xfId="1" applyNumberFormat="1" applyFont="1" applyFill="1" applyBorder="1"/>
    <xf numFmtId="169" fontId="3" fillId="2" borderId="43" xfId="0" applyNumberFormat="1" applyFont="1" applyFill="1" applyBorder="1" applyAlignment="1">
      <alignment horizontal="right"/>
    </xf>
    <xf numFmtId="164" fontId="2" fillId="0" borderId="43" xfId="0" applyNumberFormat="1" applyFont="1" applyBorder="1"/>
    <xf numFmtId="4" fontId="2" fillId="0" borderId="43" xfId="0" applyNumberFormat="1" applyFont="1" applyBorder="1"/>
    <xf numFmtId="3" fontId="2" fillId="0" borderId="43" xfId="0" applyNumberFormat="1" applyFont="1" applyBorder="1"/>
    <xf numFmtId="169" fontId="2" fillId="0" borderId="43" xfId="0" applyNumberFormat="1" applyFont="1" applyBorder="1"/>
    <xf numFmtId="3" fontId="2" fillId="0" borderId="18" xfId="0" applyNumberFormat="1" applyFont="1" applyBorder="1"/>
    <xf numFmtId="0" fontId="11" fillId="0" borderId="0" xfId="0" applyFont="1"/>
    <xf numFmtId="0" fontId="8" fillId="0" borderId="41" xfId="0" applyFont="1" applyBorder="1" applyAlignment="1">
      <alignment horizontal="center"/>
    </xf>
    <xf numFmtId="0" fontId="8" fillId="0" borderId="64" xfId="0" applyFont="1" applyBorder="1" applyAlignment="1">
      <alignment vertical="center" wrapText="1"/>
    </xf>
    <xf numFmtId="0" fontId="8" fillId="0" borderId="47" xfId="0" applyFont="1" applyBorder="1" applyAlignment="1">
      <alignment horizontal="center"/>
    </xf>
    <xf numFmtId="0" fontId="8" fillId="0" borderId="49" xfId="0" applyFont="1" applyBorder="1" applyAlignment="1">
      <alignment horizontal="center"/>
    </xf>
    <xf numFmtId="165" fontId="2" fillId="0" borderId="26" xfId="0" applyNumberFormat="1" applyFont="1" applyFill="1" applyBorder="1"/>
    <xf numFmtId="165" fontId="2" fillId="0" borderId="27" xfId="0" applyNumberFormat="1" applyFont="1" applyFill="1" applyBorder="1"/>
    <xf numFmtId="0" fontId="8" fillId="0" borderId="0" xfId="0" applyFont="1" applyFill="1" applyBorder="1" applyAlignment="1">
      <alignment horizontal="left"/>
    </xf>
    <xf numFmtId="169" fontId="3" fillId="0" borderId="19" xfId="1" applyNumberFormat="1" applyFont="1" applyBorder="1"/>
    <xf numFmtId="170" fontId="3" fillId="0" borderId="28" xfId="1" applyNumberFormat="1" applyFont="1" applyBorder="1"/>
    <xf numFmtId="0" fontId="12" fillId="0" borderId="0" xfId="0" applyFont="1" applyAlignment="1">
      <alignment horizontal="left" indent="2"/>
    </xf>
    <xf numFmtId="0" fontId="13" fillId="0" borderId="0" xfId="0" applyFont="1"/>
    <xf numFmtId="0" fontId="14" fillId="0" borderId="0" xfId="0" applyFont="1"/>
    <xf numFmtId="0" fontId="15" fillId="0" borderId="0" xfId="0" applyFont="1"/>
    <xf numFmtId="0" fontId="0" fillId="0" borderId="0" xfId="0" applyAlignment="1">
      <alignment horizontal="left" indent="1"/>
    </xf>
    <xf numFmtId="0" fontId="16" fillId="0" borderId="0" xfId="0" applyFont="1" applyAlignment="1">
      <alignment horizontal="left" indent="2"/>
    </xf>
    <xf numFmtId="0" fontId="17" fillId="0" borderId="0" xfId="0" applyFont="1" applyAlignment="1">
      <alignment horizontal="left" indent="2"/>
    </xf>
    <xf numFmtId="0" fontId="18" fillId="0" borderId="0" xfId="0" applyFont="1" applyAlignment="1">
      <alignment horizontal="left" indent="2"/>
    </xf>
    <xf numFmtId="0" fontId="19" fillId="0" borderId="0" xfId="0" applyFont="1"/>
    <xf numFmtId="0" fontId="20" fillId="0" borderId="0" xfId="0" applyFont="1" applyAlignment="1">
      <alignment vertical="center"/>
    </xf>
    <xf numFmtId="0" fontId="22" fillId="0" borderId="0" xfId="3" applyFont="1" applyAlignment="1">
      <alignment horizontal="right"/>
    </xf>
    <xf numFmtId="0" fontId="23" fillId="0" borderId="0" xfId="0" applyFont="1" applyBorder="1" applyAlignment="1">
      <alignment horizontal="left"/>
    </xf>
    <xf numFmtId="174" fontId="18" fillId="0" borderId="0" xfId="4" applyNumberFormat="1" applyFont="1"/>
    <xf numFmtId="0" fontId="18" fillId="0" borderId="0" xfId="0" applyFont="1"/>
    <xf numFmtId="175" fontId="17" fillId="0" borderId="0" xfId="4" applyNumberFormat="1" applyFont="1"/>
    <xf numFmtId="0" fontId="17" fillId="0" borderId="0" xfId="0" applyFont="1"/>
    <xf numFmtId="0" fontId="17" fillId="0" borderId="0" xfId="0" applyFont="1" applyAlignment="1">
      <alignment horizontal="left" indent="1"/>
    </xf>
    <xf numFmtId="0" fontId="18" fillId="0" borderId="0" xfId="0" applyFont="1" applyAlignment="1">
      <alignment horizontal="left" indent="1"/>
    </xf>
    <xf numFmtId="0" fontId="20" fillId="0" borderId="0" xfId="0" applyFont="1"/>
    <xf numFmtId="0" fontId="22" fillId="0" borderId="0" xfId="3" applyFont="1" applyAlignment="1">
      <alignment horizontal="right" vertical="center"/>
    </xf>
    <xf numFmtId="175" fontId="17" fillId="0" borderId="0" xfId="4" applyNumberFormat="1" applyFont="1" applyAlignment="1">
      <alignment horizontal="left"/>
    </xf>
    <xf numFmtId="0" fontId="23" fillId="0" borderId="0" xfId="0" applyFont="1" applyAlignment="1">
      <alignment horizontal="left"/>
    </xf>
    <xf numFmtId="3" fontId="3" fillId="0" borderId="18" xfId="0" applyNumberFormat="1" applyFont="1" applyFill="1" applyBorder="1"/>
    <xf numFmtId="165" fontId="3" fillId="0" borderId="20" xfId="0" applyNumberFormat="1" applyFont="1" applyFill="1" applyBorder="1"/>
    <xf numFmtId="3" fontId="3" fillId="0" borderId="17" xfId="0" applyNumberFormat="1" applyFont="1" applyFill="1" applyBorder="1"/>
    <xf numFmtId="166" fontId="2" fillId="0" borderId="22" xfId="1" applyNumberFormat="1" applyFont="1" applyBorder="1" applyAlignment="1">
      <alignment horizontal="right"/>
    </xf>
    <xf numFmtId="166" fontId="2" fillId="0" borderId="24" xfId="1" applyNumberFormat="1" applyFont="1" applyBorder="1" applyAlignment="1">
      <alignment horizontal="right"/>
    </xf>
    <xf numFmtId="0" fontId="2" fillId="0" borderId="26" xfId="0" applyFont="1" applyBorder="1"/>
    <xf numFmtId="0" fontId="2" fillId="0" borderId="20" xfId="0" applyFont="1" applyBorder="1"/>
    <xf numFmtId="169" fontId="2" fillId="0" borderId="23" xfId="1" applyNumberFormat="1" applyFont="1" applyBorder="1"/>
    <xf numFmtId="3" fontId="3" fillId="0" borderId="28" xfId="0" applyNumberFormat="1" applyFont="1" applyBorder="1"/>
    <xf numFmtId="0" fontId="27" fillId="0" borderId="0" xfId="0" applyFont="1"/>
    <xf numFmtId="3" fontId="3" fillId="0" borderId="50" xfId="0" applyNumberFormat="1" applyFont="1" applyFill="1" applyBorder="1"/>
    <xf numFmtId="3" fontId="2" fillId="0" borderId="28" xfId="0" applyNumberFormat="1" applyFont="1" applyFill="1" applyBorder="1"/>
    <xf numFmtId="0" fontId="7" fillId="0" borderId="36" xfId="0" applyFont="1" applyBorder="1" applyAlignment="1">
      <alignment horizontal="center"/>
    </xf>
    <xf numFmtId="0" fontId="7" fillId="0" borderId="25" xfId="0" applyFont="1" applyFill="1" applyBorder="1" applyAlignment="1">
      <alignment horizontal="center"/>
    </xf>
    <xf numFmtId="0" fontId="7" fillId="0" borderId="26" xfId="0" applyFont="1" applyFill="1" applyBorder="1" applyAlignment="1">
      <alignment horizontal="center"/>
    </xf>
    <xf numFmtId="0" fontId="7" fillId="0" borderId="9" xfId="0" applyFont="1" applyBorder="1" applyAlignment="1">
      <alignment horizontal="center"/>
    </xf>
    <xf numFmtId="0" fontId="7" fillId="0" borderId="0" xfId="0" applyFont="1" applyFill="1" applyBorder="1" applyAlignment="1">
      <alignment horizontal="center"/>
    </xf>
    <xf numFmtId="0" fontId="7" fillId="0" borderId="27" xfId="0" applyFont="1" applyFill="1" applyBorder="1" applyAlignment="1">
      <alignment horizontal="center"/>
    </xf>
    <xf numFmtId="49" fontId="7" fillId="0" borderId="9" xfId="0" applyNumberFormat="1" applyFont="1" applyBorder="1" applyAlignment="1">
      <alignment horizontal="center"/>
    </xf>
    <xf numFmtId="49" fontId="7" fillId="0" borderId="54" xfId="0" applyNumberFormat="1" applyFont="1" applyBorder="1" applyAlignment="1">
      <alignment horizontal="center"/>
    </xf>
    <xf numFmtId="49" fontId="7" fillId="0" borderId="28" xfId="0" applyNumberFormat="1" applyFont="1" applyBorder="1" applyAlignment="1">
      <alignment horizontal="center"/>
    </xf>
    <xf numFmtId="0" fontId="0" fillId="0" borderId="0" xfId="0" applyAlignment="1">
      <alignment horizontal="center"/>
    </xf>
    <xf numFmtId="165" fontId="0" fillId="0" borderId="11" xfId="0" applyNumberFormat="1" applyFill="1" applyBorder="1"/>
    <xf numFmtId="165" fontId="0" fillId="0" borderId="0" xfId="0" applyNumberFormat="1" applyFill="1"/>
    <xf numFmtId="164" fontId="0" fillId="0" borderId="0" xfId="0" applyNumberFormat="1" applyFill="1"/>
    <xf numFmtId="3" fontId="2" fillId="0" borderId="25" xfId="0" applyNumberFormat="1" applyFont="1" applyFill="1" applyBorder="1"/>
    <xf numFmtId="3" fontId="2" fillId="0" borderId="25" xfId="0" applyNumberFormat="1" applyFont="1" applyFill="1" applyBorder="1" applyAlignment="1"/>
    <xf numFmtId="3" fontId="2" fillId="0" borderId="26" xfId="0" applyNumberFormat="1" applyFont="1" applyFill="1" applyBorder="1" applyAlignment="1"/>
    <xf numFmtId="3" fontId="2" fillId="0" borderId="0" xfId="0" applyNumberFormat="1" applyFont="1" applyFill="1" applyBorder="1"/>
    <xf numFmtId="3" fontId="2" fillId="0" borderId="0" xfId="0" applyNumberFormat="1" applyFont="1" applyFill="1" applyBorder="1" applyAlignment="1"/>
    <xf numFmtId="3" fontId="2" fillId="0" borderId="27" xfId="0" applyNumberFormat="1" applyFont="1" applyFill="1" applyBorder="1" applyAlignment="1"/>
    <xf numFmtId="3" fontId="3" fillId="0" borderId="17" xfId="0" applyNumberFormat="1" applyFont="1" applyFill="1" applyBorder="1" applyAlignment="1"/>
    <xf numFmtId="3" fontId="3" fillId="0" borderId="20" xfId="0" applyNumberFormat="1" applyFont="1" applyFill="1" applyBorder="1" applyAlignment="1"/>
    <xf numFmtId="4" fontId="0" fillId="0" borderId="0" xfId="0" applyNumberFormat="1" applyFill="1"/>
    <xf numFmtId="49" fontId="3" fillId="0" borderId="40" xfId="0" applyNumberFormat="1" applyFont="1" applyFill="1" applyBorder="1" applyAlignment="1">
      <alignment horizontal="center"/>
    </xf>
    <xf numFmtId="3" fontId="2" fillId="0" borderId="8" xfId="0" applyNumberFormat="1" applyFont="1" applyFill="1" applyBorder="1"/>
    <xf numFmtId="3" fontId="3" fillId="0" borderId="43" xfId="0" applyNumberFormat="1" applyFont="1" applyFill="1" applyBorder="1"/>
    <xf numFmtId="164" fontId="3" fillId="0" borderId="40" xfId="0" applyNumberFormat="1" applyFont="1" applyFill="1" applyBorder="1"/>
    <xf numFmtId="164" fontId="2" fillId="0" borderId="26" xfId="0" applyNumberFormat="1" applyFont="1" applyFill="1" applyBorder="1"/>
    <xf numFmtId="164" fontId="2" fillId="0" borderId="27" xfId="0" applyNumberFormat="1" applyFont="1" applyFill="1" applyBorder="1"/>
    <xf numFmtId="164" fontId="2" fillId="0" borderId="28" xfId="0" applyNumberFormat="1" applyFont="1" applyFill="1" applyBorder="1"/>
    <xf numFmtId="49" fontId="7" fillId="3" borderId="27" xfId="0" applyNumberFormat="1" applyFont="1" applyFill="1" applyBorder="1" applyAlignment="1">
      <alignment horizontal="center"/>
    </xf>
    <xf numFmtId="0" fontId="0" fillId="3" borderId="0" xfId="0" applyFill="1"/>
    <xf numFmtId="165" fontId="0" fillId="3" borderId="0" xfId="0" applyNumberFormat="1" applyFill="1"/>
    <xf numFmtId="3" fontId="0" fillId="0" borderId="0" xfId="0" applyNumberFormat="1" applyFill="1"/>
    <xf numFmtId="165" fontId="5" fillId="0" borderId="0" xfId="0" applyNumberFormat="1" applyFont="1"/>
    <xf numFmtId="0" fontId="3" fillId="0" borderId="0" xfId="0" applyFont="1" applyBorder="1" applyAlignment="1">
      <alignment horizontal="center"/>
    </xf>
    <xf numFmtId="0" fontId="3" fillId="0" borderId="0" xfId="0" applyFont="1" applyAlignment="1">
      <alignment horizontal="center"/>
    </xf>
    <xf numFmtId="0" fontId="0" fillId="0" borderId="0" xfId="0"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0" fillId="0" borderId="0" xfId="0" applyAlignment="1">
      <alignment horizont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Fill="1" applyAlignment="1">
      <alignment horizontal="center"/>
    </xf>
    <xf numFmtId="3" fontId="2" fillId="0" borderId="0" xfId="0" applyNumberFormat="1" applyFont="1"/>
    <xf numFmtId="165" fontId="2" fillId="0" borderId="9" xfId="0" applyNumberFormat="1" applyFont="1" applyFill="1" applyBorder="1"/>
    <xf numFmtId="0" fontId="5" fillId="0" borderId="0" xfId="0" applyFont="1" applyFill="1"/>
    <xf numFmtId="165" fontId="5" fillId="0" borderId="0" xfId="0" applyNumberFormat="1" applyFont="1" applyFill="1"/>
    <xf numFmtId="4" fontId="2" fillId="0" borderId="11" xfId="0" applyNumberFormat="1" applyFont="1" applyBorder="1"/>
    <xf numFmtId="3" fontId="2" fillId="0" borderId="24" xfId="0" applyNumberFormat="1" applyFont="1" applyBorder="1"/>
    <xf numFmtId="0" fontId="3" fillId="0" borderId="9" xfId="0" applyFont="1" applyBorder="1" applyAlignment="1">
      <alignment horizontal="center" vertical="center" wrapText="1"/>
    </xf>
    <xf numFmtId="9" fontId="3" fillId="0" borderId="9" xfId="0" applyNumberFormat="1" applyFont="1" applyBorder="1" applyAlignment="1">
      <alignment horizontal="center" vertical="center" wrapText="1"/>
    </xf>
    <xf numFmtId="164" fontId="2" fillId="0" borderId="27" xfId="0" applyNumberFormat="1" applyFont="1" applyBorder="1"/>
    <xf numFmtId="0" fontId="2" fillId="0" borderId="42" xfId="0" applyFont="1" applyBorder="1"/>
    <xf numFmtId="2" fontId="2" fillId="0" borderId="43" xfId="0" applyNumberFormat="1" applyFont="1" applyBorder="1"/>
    <xf numFmtId="3" fontId="2" fillId="0" borderId="44" xfId="0" applyNumberFormat="1" applyFont="1" applyBorder="1"/>
    <xf numFmtId="165" fontId="2" fillId="0" borderId="26" xfId="0" applyNumberFormat="1" applyFont="1" applyBorder="1" applyAlignment="1">
      <alignment horizontal="right"/>
    </xf>
    <xf numFmtId="165" fontId="2" fillId="0" borderId="27" xfId="0" applyNumberFormat="1" applyFont="1" applyBorder="1" applyAlignment="1">
      <alignment horizontal="right"/>
    </xf>
    <xf numFmtId="165" fontId="2" fillId="0" borderId="28" xfId="0" applyNumberFormat="1" applyFont="1" applyBorder="1" applyAlignment="1">
      <alignment horizontal="right"/>
    </xf>
    <xf numFmtId="4" fontId="2" fillId="0" borderId="0" xfId="0" applyNumberFormat="1" applyFont="1" applyFill="1" applyAlignment="1">
      <alignment horizontal="center"/>
    </xf>
    <xf numFmtId="0" fontId="10" fillId="0" borderId="26" xfId="0" applyFont="1" applyFill="1" applyBorder="1" applyAlignment="1">
      <alignment horizontal="center"/>
    </xf>
    <xf numFmtId="0" fontId="10" fillId="0" borderId="27" xfId="0" applyFont="1" applyFill="1" applyBorder="1" applyAlignment="1">
      <alignment horizontal="center"/>
    </xf>
    <xf numFmtId="9" fontId="10" fillId="0" borderId="27" xfId="0" applyNumberFormat="1" applyFont="1" applyFill="1" applyBorder="1" applyAlignment="1">
      <alignment horizontal="center"/>
    </xf>
    <xf numFmtId="3" fontId="10" fillId="0" borderId="27" xfId="0" applyNumberFormat="1" applyFont="1" applyFill="1" applyBorder="1" applyAlignment="1">
      <alignment horizontal="center"/>
    </xf>
    <xf numFmtId="0" fontId="10" fillId="0" borderId="0" xfId="0" applyFont="1" applyFill="1" applyBorder="1" applyAlignment="1">
      <alignment horizontal="center"/>
    </xf>
    <xf numFmtId="49" fontId="10" fillId="0" borderId="28" xfId="0" applyNumberFormat="1" applyFont="1" applyFill="1" applyBorder="1" applyAlignment="1">
      <alignment horizontal="center"/>
    </xf>
    <xf numFmtId="0" fontId="10" fillId="0" borderId="28" xfId="0" applyFont="1" applyFill="1" applyBorder="1" applyAlignment="1">
      <alignment horizontal="center"/>
    </xf>
    <xf numFmtId="49" fontId="29" fillId="0" borderId="40" xfId="0" applyNumberFormat="1" applyFont="1" applyFill="1" applyBorder="1" applyAlignment="1">
      <alignment horizontal="center" vertical="center" wrapText="1"/>
    </xf>
    <xf numFmtId="3" fontId="3" fillId="0" borderId="28" xfId="0" applyNumberFormat="1" applyFont="1" applyFill="1" applyBorder="1"/>
    <xf numFmtId="3" fontId="3" fillId="0" borderId="40" xfId="0" applyNumberFormat="1" applyFont="1" applyFill="1" applyBorder="1"/>
    <xf numFmtId="3" fontId="2" fillId="0" borderId="51" xfId="0" applyNumberFormat="1" applyFont="1" applyFill="1" applyBorder="1"/>
    <xf numFmtId="0" fontId="10" fillId="0" borderId="21" xfId="0" applyFont="1" applyFill="1" applyBorder="1" applyAlignment="1">
      <alignment horizontal="center"/>
    </xf>
    <xf numFmtId="0" fontId="10" fillId="0" borderId="23" xfId="0" applyFont="1" applyFill="1" applyBorder="1" applyAlignment="1">
      <alignment horizontal="center"/>
    </xf>
    <xf numFmtId="49" fontId="10" fillId="0" borderId="39" xfId="0" applyNumberFormat="1" applyFont="1" applyFill="1" applyBorder="1" applyAlignment="1">
      <alignment horizontal="center"/>
    </xf>
    <xf numFmtId="3" fontId="10" fillId="0" borderId="23" xfId="0" applyNumberFormat="1" applyFont="1" applyFill="1" applyBorder="1" applyAlignment="1">
      <alignment horizontal="center"/>
    </xf>
    <xf numFmtId="0" fontId="32" fillId="0" borderId="72" xfId="0" applyFont="1" applyFill="1" applyBorder="1"/>
    <xf numFmtId="166" fontId="32" fillId="0" borderId="63" xfId="1" applyNumberFormat="1" applyFont="1" applyFill="1" applyBorder="1" applyAlignment="1">
      <alignment horizontal="center"/>
    </xf>
    <xf numFmtId="169" fontId="32" fillId="0" borderId="62" xfId="1" applyNumberFormat="1" applyFont="1" applyFill="1" applyBorder="1"/>
    <xf numFmtId="3" fontId="32" fillId="0" borderId="63" xfId="0" applyNumberFormat="1" applyFont="1" applyFill="1" applyBorder="1"/>
    <xf numFmtId="164" fontId="32" fillId="0" borderId="4" xfId="0" applyNumberFormat="1" applyFont="1" applyFill="1" applyBorder="1"/>
    <xf numFmtId="165" fontId="32" fillId="0" borderId="4" xfId="0" applyNumberFormat="1" applyFont="1" applyFill="1" applyBorder="1"/>
    <xf numFmtId="169" fontId="32" fillId="0" borderId="62" xfId="0" applyNumberFormat="1" applyFont="1" applyFill="1" applyBorder="1" applyAlignment="1">
      <alignment horizontal="right"/>
    </xf>
    <xf numFmtId="169" fontId="32" fillId="0" borderId="63" xfId="0" applyNumberFormat="1" applyFont="1" applyFill="1" applyBorder="1" applyAlignment="1">
      <alignment horizontal="right"/>
    </xf>
    <xf numFmtId="169" fontId="32" fillId="0" borderId="4" xfId="0" applyNumberFormat="1" applyFont="1" applyFill="1" applyBorder="1" applyAlignment="1">
      <alignment horizontal="right"/>
    </xf>
    <xf numFmtId="3" fontId="32" fillId="0" borderId="62" xfId="0" applyNumberFormat="1" applyFont="1" applyFill="1" applyBorder="1"/>
    <xf numFmtId="169" fontId="32" fillId="0" borderId="10" xfId="0" applyNumberFormat="1" applyFont="1" applyFill="1" applyBorder="1"/>
    <xf numFmtId="3" fontId="32" fillId="0" borderId="15" xfId="0" applyNumberFormat="1" applyFont="1" applyFill="1" applyBorder="1"/>
    <xf numFmtId="169" fontId="32" fillId="0" borderId="71" xfId="0" applyNumberFormat="1" applyFont="1" applyFill="1" applyBorder="1"/>
    <xf numFmtId="166" fontId="32" fillId="0" borderId="37" xfId="1" applyNumberFormat="1" applyFont="1" applyFill="1" applyBorder="1" applyAlignment="1">
      <alignment horizontal="center"/>
    </xf>
    <xf numFmtId="169" fontId="32" fillId="0" borderId="56" xfId="1" applyNumberFormat="1" applyFont="1" applyFill="1" applyBorder="1"/>
    <xf numFmtId="169" fontId="32" fillId="0" borderId="56" xfId="0" applyNumberFormat="1" applyFont="1" applyFill="1" applyBorder="1" applyAlignment="1">
      <alignment horizontal="right"/>
    </xf>
    <xf numFmtId="164" fontId="32" fillId="0" borderId="1" xfId="0" applyNumberFormat="1" applyFont="1" applyFill="1" applyBorder="1"/>
    <xf numFmtId="3" fontId="32" fillId="0" borderId="56" xfId="0" applyNumberFormat="1" applyFont="1" applyFill="1" applyBorder="1"/>
    <xf numFmtId="169" fontId="32" fillId="0" borderId="11" xfId="0" applyNumberFormat="1" applyFont="1" applyFill="1" applyBorder="1"/>
    <xf numFmtId="0" fontId="32" fillId="0" borderId="31" xfId="0" applyFont="1" applyFill="1" applyBorder="1"/>
    <xf numFmtId="166" fontId="32" fillId="0" borderId="48" xfId="1" applyNumberFormat="1" applyFont="1" applyFill="1" applyBorder="1" applyAlignment="1">
      <alignment horizontal="center"/>
    </xf>
    <xf numFmtId="169" fontId="32" fillId="0" borderId="58" xfId="1" applyNumberFormat="1" applyFont="1" applyFill="1" applyBorder="1"/>
    <xf numFmtId="3" fontId="32" fillId="0" borderId="49" xfId="0" applyNumberFormat="1" applyFont="1" applyFill="1" applyBorder="1"/>
    <xf numFmtId="164" fontId="32" fillId="0" borderId="50" xfId="0" applyNumberFormat="1" applyFont="1" applyFill="1" applyBorder="1"/>
    <xf numFmtId="165" fontId="32" fillId="0" borderId="50" xfId="0" applyNumberFormat="1" applyFont="1" applyFill="1" applyBorder="1"/>
    <xf numFmtId="169" fontId="32" fillId="0" borderId="58" xfId="0" applyNumberFormat="1" applyFont="1" applyFill="1" applyBorder="1" applyAlignment="1">
      <alignment horizontal="right"/>
    </xf>
    <xf numFmtId="169" fontId="32" fillId="0" borderId="49" xfId="0" applyNumberFormat="1" applyFont="1" applyFill="1" applyBorder="1" applyAlignment="1">
      <alignment horizontal="right"/>
    </xf>
    <xf numFmtId="169" fontId="32" fillId="0" borderId="50" xfId="0" applyNumberFormat="1" applyFont="1" applyFill="1" applyBorder="1" applyAlignment="1">
      <alignment horizontal="right"/>
    </xf>
    <xf numFmtId="164" fontId="32" fillId="0" borderId="57" xfId="0" applyNumberFormat="1" applyFont="1" applyFill="1" applyBorder="1"/>
    <xf numFmtId="3" fontId="32" fillId="0" borderId="58" xfId="0" applyNumberFormat="1" applyFont="1" applyFill="1" applyBorder="1"/>
    <xf numFmtId="169" fontId="32" fillId="0" borderId="33" xfId="0" applyNumberFormat="1" applyFont="1" applyFill="1" applyBorder="1"/>
    <xf numFmtId="3" fontId="32" fillId="0" borderId="51" xfId="0" applyNumberFormat="1" applyFont="1" applyFill="1" applyBorder="1"/>
    <xf numFmtId="169" fontId="32" fillId="0" borderId="28" xfId="0" applyNumberFormat="1" applyFont="1" applyFill="1" applyBorder="1"/>
    <xf numFmtId="0" fontId="6" fillId="0" borderId="28" xfId="0" applyFont="1" applyFill="1" applyBorder="1"/>
    <xf numFmtId="166" fontId="6" fillId="0" borderId="39" xfId="1" applyNumberFormat="1" applyFont="1" applyFill="1" applyBorder="1" applyAlignment="1">
      <alignment horizontal="center"/>
    </xf>
    <xf numFmtId="3" fontId="6" fillId="0" borderId="51" xfId="0" applyNumberFormat="1" applyFont="1" applyFill="1" applyBorder="1"/>
    <xf numFmtId="169" fontId="6" fillId="0" borderId="28" xfId="0" applyNumberFormat="1" applyFont="1" applyFill="1" applyBorder="1"/>
    <xf numFmtId="3" fontId="6" fillId="0" borderId="40" xfId="0" applyNumberFormat="1" applyFont="1" applyFill="1" applyBorder="1"/>
    <xf numFmtId="3" fontId="2" fillId="0" borderId="24" xfId="0" applyNumberFormat="1" applyFont="1" applyFill="1" applyBorder="1"/>
    <xf numFmtId="3" fontId="2" fillId="0" borderId="41" xfId="0" applyNumberFormat="1" applyFont="1" applyFill="1" applyBorder="1"/>
    <xf numFmtId="166" fontId="2" fillId="0" borderId="0" xfId="1" applyNumberFormat="1" applyFont="1" applyFill="1" applyBorder="1" applyAlignment="1">
      <alignment horizontal="center"/>
    </xf>
    <xf numFmtId="0" fontId="2" fillId="0" borderId="27" xfId="0" applyFont="1" applyFill="1" applyBorder="1"/>
    <xf numFmtId="0" fontId="3" fillId="0" borderId="27" xfId="0" applyFont="1" applyFill="1" applyBorder="1"/>
    <xf numFmtId="0" fontId="2" fillId="0" borderId="28" xfId="0" applyFont="1" applyFill="1" applyBorder="1"/>
    <xf numFmtId="166" fontId="3" fillId="0" borderId="0" xfId="1" applyNumberFormat="1" applyFont="1" applyFill="1" applyBorder="1" applyAlignment="1">
      <alignment horizontal="center"/>
    </xf>
    <xf numFmtId="3" fontId="3" fillId="0" borderId="27" xfId="0" applyNumberFormat="1" applyFont="1" applyFill="1" applyBorder="1"/>
    <xf numFmtId="3" fontId="3" fillId="0" borderId="24" xfId="0" applyNumberFormat="1" applyFont="1" applyFill="1" applyBorder="1"/>
    <xf numFmtId="165" fontId="3" fillId="0" borderId="9" xfId="0" applyNumberFormat="1" applyFont="1" applyFill="1" applyBorder="1"/>
    <xf numFmtId="3" fontId="3" fillId="0" borderId="8" xfId="0" applyNumberFormat="1" applyFont="1" applyFill="1" applyBorder="1"/>
    <xf numFmtId="165" fontId="3" fillId="0" borderId="0" xfId="0" applyNumberFormat="1" applyFont="1" applyFill="1" applyBorder="1"/>
    <xf numFmtId="3" fontId="3" fillId="0" borderId="0" xfId="0" applyNumberFormat="1" applyFont="1" applyFill="1" applyBorder="1"/>
    <xf numFmtId="0" fontId="3" fillId="0" borderId="30" xfId="0" applyFont="1" applyBorder="1" applyAlignment="1">
      <alignment wrapText="1"/>
    </xf>
    <xf numFmtId="49" fontId="3" fillId="0" borderId="32" xfId="0" applyNumberFormat="1" applyFont="1" applyBorder="1" applyAlignment="1">
      <alignment horizontal="center"/>
    </xf>
    <xf numFmtId="49" fontId="3" fillId="0" borderId="40" xfId="0" applyNumberFormat="1" applyFont="1" applyBorder="1" applyAlignment="1">
      <alignment horizontal="center"/>
    </xf>
    <xf numFmtId="0" fontId="3" fillId="0" borderId="23" xfId="0" applyFont="1" applyBorder="1" applyAlignment="1">
      <alignment horizontal="center"/>
    </xf>
    <xf numFmtId="0" fontId="10" fillId="0" borderId="0" xfId="0" applyFont="1" applyFill="1" applyBorder="1"/>
    <xf numFmtId="0" fontId="0" fillId="0" borderId="0" xfId="0" applyAlignment="1">
      <alignment horizontal="center"/>
    </xf>
    <xf numFmtId="0" fontId="0" fillId="0" borderId="0" xfId="0" applyAlignment="1">
      <alignment horizontal="center"/>
    </xf>
    <xf numFmtId="41" fontId="2" fillId="0" borderId="27" xfId="1" applyNumberFormat="1" applyFont="1" applyFill="1" applyBorder="1"/>
    <xf numFmtId="165" fontId="2" fillId="0" borderId="24" xfId="0" applyNumberFormat="1" applyFont="1" applyFill="1" applyBorder="1"/>
    <xf numFmtId="41" fontId="2" fillId="0" borderId="28" xfId="1" applyNumberFormat="1" applyFont="1" applyFill="1" applyBorder="1"/>
    <xf numFmtId="172" fontId="3" fillId="0" borderId="28" xfId="1" applyNumberFormat="1" applyFont="1" applyFill="1" applyBorder="1"/>
    <xf numFmtId="171" fontId="0" fillId="0" borderId="0" xfId="0" applyNumberFormat="1" applyFill="1"/>
    <xf numFmtId="0" fontId="7" fillId="0" borderId="46" xfId="0" applyFont="1" applyFill="1" applyBorder="1" applyAlignment="1">
      <alignment horizontal="center"/>
    </xf>
    <xf numFmtId="0" fontId="7" fillId="0" borderId="8" xfId="0" applyFont="1" applyFill="1" applyBorder="1" applyAlignment="1">
      <alignment horizontal="center"/>
    </xf>
    <xf numFmtId="49" fontId="7" fillId="0" borderId="8" xfId="0" applyNumberFormat="1" applyFont="1" applyFill="1" applyBorder="1" applyAlignment="1">
      <alignment horizontal="center"/>
    </xf>
    <xf numFmtId="49" fontId="7" fillId="0" borderId="51" xfId="0" applyNumberFormat="1" applyFont="1" applyFill="1" applyBorder="1" applyAlignment="1">
      <alignment horizontal="center"/>
    </xf>
    <xf numFmtId="49" fontId="7" fillId="0" borderId="27" xfId="0" applyNumberFormat="1" applyFont="1" applyFill="1" applyBorder="1" applyAlignment="1">
      <alignment horizontal="center"/>
    </xf>
    <xf numFmtId="49" fontId="7" fillId="0" borderId="0" xfId="0" applyNumberFormat="1" applyFont="1" applyFill="1" applyBorder="1" applyAlignment="1">
      <alignment horizontal="center"/>
    </xf>
    <xf numFmtId="49" fontId="7" fillId="0" borderId="40" xfId="0" applyNumberFormat="1" applyFont="1" applyFill="1" applyBorder="1" applyAlignment="1">
      <alignment horizontal="center"/>
    </xf>
    <xf numFmtId="0" fontId="7" fillId="0" borderId="28" xfId="0" applyFont="1" applyFill="1" applyBorder="1" applyAlignment="1">
      <alignment horizontal="center"/>
    </xf>
    <xf numFmtId="169" fontId="2" fillId="0" borderId="25" xfId="1" applyNumberFormat="1" applyFont="1" applyFill="1" applyBorder="1"/>
    <xf numFmtId="3" fontId="2" fillId="0" borderId="22" xfId="0" applyNumberFormat="1" applyFont="1" applyFill="1" applyBorder="1"/>
    <xf numFmtId="169" fontId="2" fillId="0" borderId="0" xfId="1" applyNumberFormat="1" applyFont="1" applyFill="1" applyBorder="1"/>
    <xf numFmtId="169" fontId="3" fillId="0" borderId="18" xfId="1" applyNumberFormat="1" applyFont="1" applyFill="1" applyBorder="1"/>
    <xf numFmtId="0" fontId="0" fillId="0" borderId="0" xfId="0" applyAlignment="1">
      <alignment vertical="center" wrapText="1"/>
    </xf>
    <xf numFmtId="0" fontId="3" fillId="0" borderId="0" xfId="0" applyFont="1" applyAlignment="1">
      <alignment horizontal="center"/>
    </xf>
    <xf numFmtId="0" fontId="0" fillId="0" borderId="0" xfId="0" applyAlignment="1">
      <alignment horizontal="center"/>
    </xf>
    <xf numFmtId="0" fontId="28" fillId="0" borderId="0" xfId="0" applyFont="1"/>
    <xf numFmtId="0" fontId="28" fillId="0" borderId="0" xfId="0" applyFont="1" applyAlignment="1">
      <alignment horizontal="center"/>
    </xf>
    <xf numFmtId="0" fontId="3" fillId="0" borderId="21" xfId="0" applyFont="1" applyFill="1" applyBorder="1" applyAlignment="1">
      <alignment horizontal="center"/>
    </xf>
    <xf numFmtId="0" fontId="0" fillId="0" borderId="0" xfId="0" applyAlignment="1">
      <alignment horizontal="center"/>
    </xf>
    <xf numFmtId="0" fontId="35" fillId="0" borderId="0" xfId="0" applyFont="1"/>
    <xf numFmtId="0" fontId="3" fillId="0" borderId="0" xfId="0" applyFont="1" applyAlignment="1">
      <alignment horizontal="center"/>
    </xf>
    <xf numFmtId="0" fontId="3" fillId="0" borderId="1" xfId="0" applyFont="1" applyBorder="1" applyAlignment="1">
      <alignment horizontal="center"/>
    </xf>
    <xf numFmtId="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57" xfId="0" applyBorder="1" applyAlignment="1">
      <alignment horizontal="center" vertical="center" wrapText="1"/>
    </xf>
    <xf numFmtId="0" fontId="8" fillId="0" borderId="26" xfId="0" applyFont="1" applyFill="1" applyBorder="1" applyAlignment="1">
      <alignment horizontal="center" vertical="center" wrapText="1"/>
    </xf>
    <xf numFmtId="0" fontId="8" fillId="0" borderId="26" xfId="0" applyFont="1" applyFill="1" applyBorder="1" applyAlignment="1">
      <alignment horizontal="center"/>
    </xf>
    <xf numFmtId="0" fontId="8" fillId="0" borderId="27" xfId="0" applyFont="1" applyFill="1" applyBorder="1" applyAlignment="1">
      <alignment horizontal="center"/>
    </xf>
    <xf numFmtId="49" fontId="8" fillId="0" borderId="27" xfId="0" applyNumberFormat="1" applyFont="1" applyFill="1" applyBorder="1" applyAlignment="1">
      <alignment horizontal="center"/>
    </xf>
    <xf numFmtId="9" fontId="8" fillId="0" borderId="27" xfId="0" applyNumberFormat="1" applyFont="1" applyFill="1" applyBorder="1" applyAlignment="1">
      <alignment horizontal="center"/>
    </xf>
    <xf numFmtId="49" fontId="8" fillId="0" borderId="39" xfId="0" applyNumberFormat="1" applyFont="1" applyFill="1" applyBorder="1" applyAlignment="1">
      <alignment horizontal="center"/>
    </xf>
    <xf numFmtId="49" fontId="8" fillId="0" borderId="28" xfId="0" applyNumberFormat="1" applyFont="1" applyFill="1" applyBorder="1" applyAlignment="1">
      <alignment horizontal="center"/>
    </xf>
    <xf numFmtId="49" fontId="8" fillId="0" borderId="40" xfId="0" applyNumberFormat="1" applyFont="1" applyFill="1" applyBorder="1" applyAlignment="1">
      <alignment horizontal="center"/>
    </xf>
    <xf numFmtId="49" fontId="8" fillId="0" borderId="41" xfId="0" applyNumberFormat="1" applyFont="1" applyFill="1" applyBorder="1" applyAlignment="1">
      <alignment horizontal="center"/>
    </xf>
    <xf numFmtId="0" fontId="3" fillId="0" borderId="0" xfId="0" applyFont="1" applyBorder="1" applyAlignment="1">
      <alignment horizontal="center"/>
    </xf>
    <xf numFmtId="0" fontId="3" fillId="0" borderId="21" xfId="0" applyFont="1" applyBorder="1" applyAlignment="1">
      <alignment horizontal="center"/>
    </xf>
    <xf numFmtId="0" fontId="28" fillId="0" borderId="0" xfId="0" applyFont="1" applyAlignment="1">
      <alignment horizontal="left" vertical="center" wrapText="1"/>
    </xf>
    <xf numFmtId="0" fontId="8" fillId="0" borderId="21" xfId="0" applyFont="1" applyFill="1" applyBorder="1" applyAlignment="1">
      <alignment horizontal="center" vertical="center" wrapText="1"/>
    </xf>
    <xf numFmtId="0" fontId="3" fillId="0" borderId="22" xfId="0" applyFont="1" applyFill="1" applyBorder="1" applyAlignment="1">
      <alignment horizontal="center"/>
    </xf>
    <xf numFmtId="0" fontId="3" fillId="0" borderId="24" xfId="0" applyFont="1" applyFill="1" applyBorder="1" applyAlignment="1">
      <alignment horizontal="center"/>
    </xf>
    <xf numFmtId="0" fontId="6" fillId="0" borderId="0" xfId="0" applyFont="1" applyBorder="1" applyAlignment="1"/>
    <xf numFmtId="0" fontId="32" fillId="0" borderId="0" xfId="0" applyFont="1" applyBorder="1" applyAlignment="1">
      <alignment vertical="center"/>
    </xf>
    <xf numFmtId="0" fontId="32" fillId="0" borderId="0" xfId="0" applyFont="1" applyBorder="1" applyAlignment="1">
      <alignment vertical="distributed"/>
    </xf>
    <xf numFmtId="0" fontId="32" fillId="0" borderId="0" xfId="0" applyFont="1" applyBorder="1"/>
    <xf numFmtId="0" fontId="32" fillId="0" borderId="0" xfId="0" applyFont="1" applyFill="1" applyBorder="1"/>
    <xf numFmtId="0" fontId="32" fillId="0" borderId="2" xfId="0" applyFont="1" applyFill="1" applyBorder="1"/>
    <xf numFmtId="0" fontId="32" fillId="0" borderId="6" xfId="0" applyFont="1" applyFill="1" applyBorder="1"/>
    <xf numFmtId="49" fontId="32" fillId="0" borderId="7" xfId="0" applyNumberFormat="1" applyFont="1" applyFill="1" applyBorder="1" applyAlignment="1">
      <alignment horizontal="right"/>
    </xf>
    <xf numFmtId="49" fontId="32" fillId="0" borderId="0" xfId="0" applyNumberFormat="1" applyFont="1" applyBorder="1" applyAlignment="1">
      <alignment horizontal="right"/>
    </xf>
    <xf numFmtId="0" fontId="32" fillId="0" borderId="3" xfId="0" applyFont="1" applyFill="1" applyBorder="1"/>
    <xf numFmtId="49" fontId="32" fillId="0" borderId="9" xfId="0" applyNumberFormat="1" applyFont="1" applyFill="1" applyBorder="1" applyAlignment="1">
      <alignment horizontal="right"/>
    </xf>
    <xf numFmtId="0" fontId="32" fillId="0" borderId="4" xfId="0" applyFont="1" applyFill="1" applyBorder="1"/>
    <xf numFmtId="49" fontId="32" fillId="0" borderId="12" xfId="0" applyNumberFormat="1" applyFont="1" applyFill="1" applyBorder="1"/>
    <xf numFmtId="49" fontId="32" fillId="0" borderId="10" xfId="0" applyNumberFormat="1" applyFont="1" applyFill="1" applyBorder="1" applyAlignment="1">
      <alignment horizontal="right"/>
    </xf>
    <xf numFmtId="49" fontId="32" fillId="0" borderId="0" xfId="0" applyNumberFormat="1" applyFont="1" applyBorder="1"/>
    <xf numFmtId="49" fontId="32" fillId="0" borderId="0" xfId="0" applyNumberFormat="1" applyFont="1" applyFill="1" applyBorder="1"/>
    <xf numFmtId="49" fontId="32" fillId="0" borderId="0" xfId="0" applyNumberFormat="1" applyFont="1" applyFill="1" applyBorder="1" applyAlignment="1">
      <alignment horizontal="right"/>
    </xf>
    <xf numFmtId="0" fontId="3" fillId="0" borderId="23" xfId="0" applyFont="1" applyBorder="1" applyAlignment="1"/>
    <xf numFmtId="0" fontId="3" fillId="0" borderId="64"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 xfId="0" applyFont="1" applyFill="1" applyBorder="1" applyAlignment="1">
      <alignment vertical="center" wrapText="1"/>
    </xf>
    <xf numFmtId="0" fontId="3" fillId="0" borderId="49" xfId="0" applyFont="1" applyFill="1" applyBorder="1" applyAlignment="1">
      <alignment horizontal="center"/>
    </xf>
    <xf numFmtId="0" fontId="6" fillId="0" borderId="39" xfId="0" applyFont="1" applyFill="1" applyBorder="1" applyAlignment="1">
      <alignment horizontal="center" vertical="center" wrapText="1"/>
    </xf>
    <xf numFmtId="0" fontId="6" fillId="0" borderId="53" xfId="0" applyFont="1" applyFill="1" applyBorder="1" applyAlignment="1">
      <alignment horizontal="center"/>
    </xf>
    <xf numFmtId="0" fontId="6" fillId="0" borderId="51" xfId="0" applyFont="1" applyFill="1" applyBorder="1" applyAlignment="1">
      <alignment horizontal="center"/>
    </xf>
    <xf numFmtId="0" fontId="6" fillId="0" borderId="40" xfId="0" applyFont="1" applyFill="1" applyBorder="1" applyAlignment="1">
      <alignment horizontal="center"/>
    </xf>
    <xf numFmtId="0" fontId="6" fillId="0" borderId="64" xfId="0" applyFont="1" applyFill="1" applyBorder="1" applyAlignment="1">
      <alignment vertical="center" wrapText="1"/>
    </xf>
    <xf numFmtId="0" fontId="6" fillId="0" borderId="49" xfId="0" applyFont="1" applyFill="1" applyBorder="1" applyAlignment="1">
      <alignment horizontal="center"/>
    </xf>
    <xf numFmtId="0" fontId="6" fillId="0" borderId="64" xfId="0" applyFont="1" applyFill="1" applyBorder="1" applyAlignment="1">
      <alignment horizontal="center" vertical="center" wrapText="1"/>
    </xf>
    <xf numFmtId="0" fontId="6" fillId="0" borderId="39" xfId="0" applyFont="1" applyFill="1" applyBorder="1" applyAlignment="1">
      <alignment horizontal="center"/>
    </xf>
    <xf numFmtId="0" fontId="6" fillId="0" borderId="47" xfId="0" applyFont="1" applyFill="1" applyBorder="1" applyAlignment="1">
      <alignment horizontal="center"/>
    </xf>
    <xf numFmtId="0" fontId="6" fillId="0" borderId="9" xfId="0" applyFont="1" applyFill="1" applyBorder="1" applyAlignment="1">
      <alignment horizontal="center"/>
    </xf>
    <xf numFmtId="3" fontId="11" fillId="0" borderId="0" xfId="0" applyNumberFormat="1" applyFont="1"/>
    <xf numFmtId="165" fontId="32" fillId="0" borderId="63" xfId="0" applyNumberFormat="1" applyFont="1" applyFill="1" applyBorder="1"/>
    <xf numFmtId="169" fontId="32" fillId="0" borderId="62" xfId="0" applyNumberFormat="1" applyFont="1" applyFill="1" applyBorder="1"/>
    <xf numFmtId="170" fontId="32" fillId="0" borderId="63" xfId="0" applyNumberFormat="1" applyFont="1" applyFill="1" applyBorder="1"/>
    <xf numFmtId="170" fontId="32" fillId="0" borderId="4" xfId="0" applyNumberFormat="1" applyFont="1" applyFill="1" applyBorder="1"/>
    <xf numFmtId="3" fontId="32" fillId="0" borderId="62" xfId="0" applyNumberFormat="1" applyFont="1" applyFill="1" applyBorder="1" applyAlignment="1"/>
    <xf numFmtId="4" fontId="32" fillId="0" borderId="12" xfId="0" applyNumberFormat="1" applyFont="1" applyFill="1" applyBorder="1" applyAlignment="1"/>
    <xf numFmtId="3" fontId="32" fillId="0" borderId="66" xfId="0" applyNumberFormat="1" applyFont="1" applyFill="1" applyBorder="1" applyAlignment="1"/>
    <xf numFmtId="165" fontId="32" fillId="0" borderId="35" xfId="0" applyNumberFormat="1" applyFont="1" applyFill="1" applyBorder="1" applyAlignment="1"/>
    <xf numFmtId="3" fontId="32" fillId="0" borderId="15" xfId="0" applyNumberFormat="1" applyFont="1" applyFill="1" applyBorder="1" applyAlignment="1"/>
    <xf numFmtId="165" fontId="32" fillId="0" borderId="63" xfId="0" applyNumberFormat="1" applyFont="1" applyFill="1" applyBorder="1" applyAlignment="1"/>
    <xf numFmtId="165" fontId="32" fillId="0" borderId="12" xfId="0" applyNumberFormat="1" applyFont="1" applyFill="1" applyBorder="1" applyAlignment="1"/>
    <xf numFmtId="3" fontId="32" fillId="0" borderId="55" xfId="0" applyNumberFormat="1" applyFont="1" applyFill="1" applyBorder="1" applyAlignment="1"/>
    <xf numFmtId="3" fontId="32" fillId="0" borderId="51" xfId="0" applyNumberFormat="1" applyFont="1" applyFill="1" applyBorder="1" applyAlignment="1"/>
    <xf numFmtId="165" fontId="32" fillId="0" borderId="49" xfId="0" applyNumberFormat="1" applyFont="1" applyFill="1" applyBorder="1" applyAlignment="1"/>
    <xf numFmtId="3" fontId="32" fillId="0" borderId="53" xfId="0" applyNumberFormat="1" applyFont="1" applyFill="1" applyBorder="1" applyAlignment="1"/>
    <xf numFmtId="165" fontId="6" fillId="0" borderId="42" xfId="0" applyNumberFormat="1" applyFont="1" applyFill="1" applyBorder="1"/>
    <xf numFmtId="169" fontId="6" fillId="0" borderId="44" xfId="0" applyNumberFormat="1" applyFont="1" applyFill="1" applyBorder="1"/>
    <xf numFmtId="170" fontId="6" fillId="0" borderId="42" xfId="0" applyNumberFormat="1" applyFont="1" applyFill="1" applyBorder="1"/>
    <xf numFmtId="170" fontId="6" fillId="0" borderId="43" xfId="0" applyNumberFormat="1" applyFont="1" applyFill="1" applyBorder="1"/>
    <xf numFmtId="3" fontId="6" fillId="0" borderId="44" xfId="0" applyNumberFormat="1" applyFont="1" applyFill="1" applyBorder="1"/>
    <xf numFmtId="3" fontId="6" fillId="0" borderId="17" xfId="0" applyNumberFormat="1" applyFont="1" applyFill="1" applyBorder="1"/>
    <xf numFmtId="165" fontId="6" fillId="0" borderId="17" xfId="0" applyNumberFormat="1" applyFont="1" applyFill="1" applyBorder="1"/>
    <xf numFmtId="3" fontId="6" fillId="0" borderId="18" xfId="0" applyNumberFormat="1" applyFont="1" applyFill="1" applyBorder="1"/>
    <xf numFmtId="165" fontId="6" fillId="0" borderId="42" xfId="0" applyNumberFormat="1" applyFont="1" applyBorder="1"/>
    <xf numFmtId="3" fontId="6" fillId="0" borderId="44" xfId="0" applyNumberFormat="1" applyFont="1" applyBorder="1"/>
    <xf numFmtId="165" fontId="6" fillId="0" borderId="45" xfId="0" applyNumberFormat="1" applyFont="1" applyFill="1" applyBorder="1"/>
    <xf numFmtId="3" fontId="6" fillId="0" borderId="43" xfId="0" applyNumberFormat="1" applyFont="1" applyFill="1" applyBorder="1"/>
    <xf numFmtId="169" fontId="6" fillId="0" borderId="44" xfId="1" applyNumberFormat="1" applyFont="1" applyFill="1" applyBorder="1"/>
    <xf numFmtId="164" fontId="6" fillId="0" borderId="43" xfId="0" applyNumberFormat="1" applyFont="1" applyFill="1" applyBorder="1"/>
    <xf numFmtId="168" fontId="6" fillId="0" borderId="40" xfId="0" applyNumberFormat="1" applyFont="1" applyFill="1" applyBorder="1"/>
    <xf numFmtId="169" fontId="6" fillId="0" borderId="44" xfId="0" applyNumberFormat="1" applyFont="1" applyFill="1" applyBorder="1" applyAlignment="1">
      <alignment horizontal="right"/>
    </xf>
    <xf numFmtId="169" fontId="6" fillId="0" borderId="39" xfId="0" applyNumberFormat="1" applyFont="1" applyFill="1" applyBorder="1" applyAlignment="1">
      <alignment horizontal="right"/>
    </xf>
    <xf numFmtId="3" fontId="6" fillId="0" borderId="41" xfId="0" applyNumberFormat="1" applyFont="1" applyFill="1" applyBorder="1"/>
    <xf numFmtId="169" fontId="6" fillId="0" borderId="43" xfId="0" applyNumberFormat="1" applyFont="1" applyFill="1" applyBorder="1" applyAlignment="1">
      <alignment horizontal="right"/>
    </xf>
    <xf numFmtId="165" fontId="6" fillId="0" borderId="43" xfId="0" applyNumberFormat="1" applyFont="1" applyFill="1" applyBorder="1"/>
    <xf numFmtId="168" fontId="6" fillId="0" borderId="43" xfId="0" applyNumberFormat="1" applyFont="1" applyFill="1" applyBorder="1"/>
    <xf numFmtId="169" fontId="6" fillId="0" borderId="39" xfId="0" applyNumberFormat="1" applyFont="1" applyFill="1" applyBorder="1"/>
    <xf numFmtId="165" fontId="3" fillId="0" borderId="74" xfId="0" applyNumberFormat="1" applyFont="1" applyFill="1" applyBorder="1"/>
    <xf numFmtId="165" fontId="2" fillId="0" borderId="74" xfId="0" applyNumberFormat="1" applyFont="1" applyFill="1" applyBorder="1"/>
    <xf numFmtId="165" fontId="2" fillId="0" borderId="75" xfId="0" applyNumberFormat="1" applyFont="1" applyFill="1" applyBorder="1"/>
    <xf numFmtId="165" fontId="2" fillId="0" borderId="73" xfId="0" applyNumberFormat="1" applyFont="1" applyFill="1" applyBorder="1"/>
    <xf numFmtId="0" fontId="2" fillId="0" borderId="42" xfId="0" applyFont="1" applyFill="1" applyBorder="1" applyAlignment="1">
      <alignment horizontal="center" vertical="center"/>
    </xf>
    <xf numFmtId="0" fontId="3" fillId="0" borderId="17" xfId="0" applyFont="1" applyFill="1" applyBorder="1"/>
    <xf numFmtId="166" fontId="3" fillId="0" borderId="18" xfId="1" applyNumberFormat="1" applyFont="1" applyFill="1" applyBorder="1" applyAlignment="1">
      <alignment horizontal="center"/>
    </xf>
    <xf numFmtId="165" fontId="3" fillId="0" borderId="43" xfId="0" applyNumberFormat="1" applyFont="1" applyFill="1" applyBorder="1"/>
    <xf numFmtId="165" fontId="3" fillId="0" borderId="18" xfId="0" applyNumberFormat="1" applyFont="1" applyFill="1" applyBorder="1"/>
    <xf numFmtId="3" fontId="3" fillId="0" borderId="45" xfId="0" applyNumberFormat="1" applyFont="1" applyFill="1" applyBorder="1"/>
    <xf numFmtId="3" fontId="3" fillId="0" borderId="53" xfId="0" applyNumberFormat="1" applyFont="1" applyFill="1" applyBorder="1"/>
    <xf numFmtId="0" fontId="0" fillId="0" borderId="0" xfId="0" applyAlignment="1">
      <alignment vertical="justify" wrapText="1"/>
    </xf>
    <xf numFmtId="165" fontId="2" fillId="0" borderId="43" xfId="0" applyNumberFormat="1" applyFont="1" applyBorder="1" applyAlignment="1">
      <alignment horizontal="right"/>
    </xf>
    <xf numFmtId="165" fontId="2" fillId="0" borderId="43" xfId="0" applyNumberFormat="1" applyFont="1" applyBorder="1"/>
    <xf numFmtId="166" fontId="3" fillId="0" borderId="45" xfId="1" applyNumberFormat="1" applyFont="1" applyBorder="1" applyAlignment="1">
      <alignment horizontal="right"/>
    </xf>
    <xf numFmtId="165" fontId="2" fillId="0" borderId="0" xfId="0" applyNumberFormat="1" applyFont="1" applyFill="1" applyBorder="1" applyAlignment="1">
      <alignment horizontal="right" vertical="center"/>
    </xf>
    <xf numFmtId="165" fontId="2" fillId="0" borderId="27"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165" fontId="2" fillId="0" borderId="26" xfId="0" applyNumberFormat="1" applyFont="1" applyFill="1" applyBorder="1" applyAlignment="1">
      <alignment horizontal="right" vertical="center"/>
    </xf>
    <xf numFmtId="165" fontId="3" fillId="0" borderId="17" xfId="0" applyNumberFormat="1" applyFont="1" applyFill="1" applyBorder="1" applyAlignment="1">
      <alignment horizontal="right" vertical="center"/>
    </xf>
    <xf numFmtId="165" fontId="3" fillId="0" borderId="20" xfId="0" applyNumberFormat="1" applyFont="1" applyFill="1" applyBorder="1" applyAlignment="1">
      <alignment horizontal="right" vertical="center"/>
    </xf>
    <xf numFmtId="165" fontId="3" fillId="0" borderId="16" xfId="0" applyNumberFormat="1" applyFont="1" applyFill="1" applyBorder="1" applyAlignment="1">
      <alignment horizontal="right" vertical="center"/>
    </xf>
    <xf numFmtId="0" fontId="3" fillId="0" borderId="27" xfId="0" applyFont="1" applyFill="1" applyBorder="1" applyAlignment="1">
      <alignment horizontal="center" vertical="center"/>
    </xf>
    <xf numFmtId="3" fontId="3" fillId="0" borderId="20" xfId="0" applyNumberFormat="1" applyFont="1" applyBorder="1" applyAlignment="1">
      <alignment horizontal="right"/>
    </xf>
    <xf numFmtId="165" fontId="2" fillId="0" borderId="20" xfId="0" applyNumberFormat="1" applyFont="1" applyBorder="1" applyAlignment="1">
      <alignment horizontal="right"/>
    </xf>
    <xf numFmtId="2" fontId="2" fillId="0" borderId="20" xfId="0" applyNumberFormat="1" applyFont="1" applyBorder="1"/>
    <xf numFmtId="3" fontId="2" fillId="0" borderId="20" xfId="0" applyNumberFormat="1" applyFont="1" applyBorder="1"/>
    <xf numFmtId="165" fontId="2" fillId="0" borderId="20" xfId="0" applyNumberFormat="1" applyFont="1" applyBorder="1"/>
    <xf numFmtId="166" fontId="6" fillId="0" borderId="0" xfId="1" applyNumberFormat="1" applyFont="1" applyFill="1" applyBorder="1" applyAlignment="1">
      <alignment horizontal="center"/>
    </xf>
    <xf numFmtId="169" fontId="6" fillId="0" borderId="0" xfId="1" applyNumberFormat="1" applyFont="1" applyFill="1" applyBorder="1"/>
    <xf numFmtId="3" fontId="6" fillId="0" borderId="0" xfId="0" applyNumberFormat="1" applyFont="1" applyFill="1" applyBorder="1"/>
    <xf numFmtId="164" fontId="6" fillId="0" borderId="0" xfId="0" applyNumberFormat="1" applyFont="1" applyFill="1" applyBorder="1"/>
    <xf numFmtId="168" fontId="6" fillId="0" borderId="0" xfId="0" applyNumberFormat="1" applyFont="1" applyFill="1" applyBorder="1"/>
    <xf numFmtId="169" fontId="6" fillId="0" borderId="0" xfId="0" applyNumberFormat="1" applyFont="1" applyFill="1" applyBorder="1" applyAlignment="1">
      <alignment horizontal="right"/>
    </xf>
    <xf numFmtId="165" fontId="6" fillId="0" borderId="0" xfId="0" applyNumberFormat="1" applyFont="1" applyFill="1" applyBorder="1"/>
    <xf numFmtId="169" fontId="6" fillId="0" borderId="0" xfId="0" applyNumberFormat="1" applyFont="1" applyFill="1" applyBorder="1"/>
    <xf numFmtId="165" fontId="0" fillId="0" borderId="0" xfId="0" applyNumberFormat="1" applyFill="1" applyBorder="1"/>
    <xf numFmtId="0" fontId="10" fillId="0" borderId="0" xfId="0" applyFont="1" applyFill="1" applyAlignment="1"/>
    <xf numFmtId="0" fontId="28" fillId="0" borderId="0" xfId="0" applyFont="1" applyFill="1"/>
    <xf numFmtId="0" fontId="3" fillId="0" borderId="0" xfId="0" applyFont="1" applyFill="1" applyAlignment="1"/>
    <xf numFmtId="0" fontId="0" fillId="0" borderId="0" xfId="0" applyFont="1" applyFill="1"/>
    <xf numFmtId="0" fontId="27" fillId="0" borderId="0" xfId="0" applyFont="1" applyAlignment="1">
      <alignment horizontal="center"/>
    </xf>
    <xf numFmtId="0" fontId="27" fillId="0" borderId="0" xfId="0" applyFont="1" applyAlignment="1">
      <alignment vertical="top" wrapText="1"/>
    </xf>
    <xf numFmtId="0" fontId="37" fillId="0" borderId="0" xfId="0" applyFont="1"/>
    <xf numFmtId="0" fontId="34" fillId="0" borderId="0" xfId="0" applyFont="1" applyAlignment="1">
      <alignment vertical="center" wrapText="1"/>
    </xf>
    <xf numFmtId="0" fontId="31" fillId="0" borderId="0" xfId="0" applyFont="1" applyAlignment="1">
      <alignment vertical="top"/>
    </xf>
    <xf numFmtId="0" fontId="27" fillId="0" borderId="0" xfId="0" applyFont="1" applyFill="1"/>
    <xf numFmtId="0" fontId="27" fillId="0" borderId="0" xfId="0" applyFont="1" applyFill="1" applyAlignment="1">
      <alignment horizontal="center"/>
    </xf>
    <xf numFmtId="0" fontId="28" fillId="0" borderId="0" xfId="0" applyFont="1" applyFill="1" applyAlignment="1">
      <alignment horizontal="center"/>
    </xf>
    <xf numFmtId="0" fontId="34" fillId="0" borderId="0" xfId="0" applyFont="1" applyFill="1"/>
    <xf numFmtId="0" fontId="8" fillId="0" borderId="26" xfId="0" applyFont="1" applyBorder="1" applyAlignment="1">
      <alignment horizontal="center"/>
    </xf>
    <xf numFmtId="0" fontId="8" fillId="0" borderId="27" xfId="0" applyFont="1" applyBorder="1" applyAlignment="1">
      <alignment horizontal="center"/>
    </xf>
    <xf numFmtId="0" fontId="8" fillId="0" borderId="26" xfId="0" applyFont="1" applyFill="1" applyBorder="1" applyAlignment="1">
      <alignment horizontal="center" wrapText="1"/>
    </xf>
    <xf numFmtId="0" fontId="8" fillId="0" borderId="26" xfId="0" applyFont="1" applyFill="1" applyBorder="1" applyAlignment="1"/>
    <xf numFmtId="49" fontId="8" fillId="0" borderId="27" xfId="0" applyNumberFormat="1" applyFont="1" applyBorder="1" applyAlignment="1">
      <alignment horizontal="center"/>
    </xf>
    <xf numFmtId="49" fontId="2" fillId="0" borderId="28" xfId="0" applyNumberFormat="1" applyFont="1" applyBorder="1" applyAlignment="1">
      <alignment horizontal="center"/>
    </xf>
    <xf numFmtId="0" fontId="2" fillId="0" borderId="72" xfId="0" applyFont="1" applyBorder="1" applyAlignment="1">
      <alignment horizontal="center" vertical="center"/>
    </xf>
    <xf numFmtId="0" fontId="3" fillId="0" borderId="72"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31" xfId="0" applyFont="1" applyFill="1" applyBorder="1" applyAlignment="1">
      <alignment horizontal="center" vertical="center"/>
    </xf>
    <xf numFmtId="166" fontId="2" fillId="0" borderId="40" xfId="1" applyNumberFormat="1" applyFont="1" applyFill="1" applyBorder="1" applyAlignment="1">
      <alignment horizontal="center"/>
    </xf>
    <xf numFmtId="165" fontId="2" fillId="0" borderId="54" xfId="0" applyNumberFormat="1" applyFont="1" applyFill="1" applyBorder="1"/>
    <xf numFmtId="4" fontId="2" fillId="0" borderId="40" xfId="0" applyNumberFormat="1" applyFont="1" applyFill="1" applyBorder="1"/>
    <xf numFmtId="3" fontId="2" fillId="0" borderId="40" xfId="0" applyNumberFormat="1" applyFont="1" applyFill="1" applyBorder="1"/>
    <xf numFmtId="0" fontId="3" fillId="0" borderId="28" xfId="0" applyFont="1" applyBorder="1" applyAlignment="1">
      <alignment horizontal="center" vertical="center"/>
    </xf>
    <xf numFmtId="49" fontId="3" fillId="0" borderId="24" xfId="0" applyNumberFormat="1" applyFont="1" applyBorder="1" applyAlignment="1">
      <alignment horizontal="center"/>
    </xf>
    <xf numFmtId="0" fontId="3" fillId="0" borderId="17" xfId="0" applyFont="1" applyBorder="1" applyAlignment="1">
      <alignment vertical="center" wrapText="1"/>
    </xf>
    <xf numFmtId="0" fontId="10" fillId="0" borderId="23" xfId="0" applyFont="1" applyFill="1" applyBorder="1" applyAlignment="1">
      <alignment horizontal="center" vertical="center"/>
    </xf>
    <xf numFmtId="0" fontId="10" fillId="0" borderId="27" xfId="0" applyFont="1" applyFill="1" applyBorder="1" applyAlignment="1">
      <alignment horizontal="center" vertical="center"/>
    </xf>
    <xf numFmtId="0" fontId="8" fillId="0" borderId="3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9" fontId="8" fillId="0" borderId="27" xfId="0" applyNumberFormat="1" applyFont="1" applyFill="1" applyBorder="1" applyAlignment="1">
      <alignment horizontal="center" vertical="center" wrapText="1"/>
    </xf>
    <xf numFmtId="9" fontId="8" fillId="0" borderId="9" xfId="0" applyNumberFormat="1" applyFont="1" applyFill="1" applyBorder="1" applyAlignment="1">
      <alignment horizontal="center" vertical="center" wrapText="1"/>
    </xf>
    <xf numFmtId="9" fontId="8" fillId="0" borderId="8"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3" fillId="0" borderId="9" xfId="0" applyFont="1" applyFill="1" applyBorder="1" applyAlignment="1">
      <alignment horizontal="center" vertical="center" wrapText="1"/>
    </xf>
    <xf numFmtId="9" fontId="3" fillId="0" borderId="9" xfId="0" applyNumberFormat="1" applyFont="1" applyFill="1" applyBorder="1" applyAlignment="1">
      <alignment horizontal="center" vertical="center" wrapText="1"/>
    </xf>
    <xf numFmtId="0" fontId="3" fillId="0" borderId="54" xfId="0" applyFont="1" applyFill="1" applyBorder="1" applyAlignment="1">
      <alignment horizontal="center" vertical="center" wrapText="1"/>
    </xf>
    <xf numFmtId="49" fontId="29" fillId="0" borderId="27" xfId="0" applyNumberFormat="1" applyFont="1" applyBorder="1" applyAlignment="1">
      <alignment horizontal="center" vertical="center" wrapText="1"/>
    </xf>
    <xf numFmtId="0" fontId="29" fillId="0" borderId="28" xfId="0" applyFont="1" applyBorder="1" applyAlignment="1">
      <alignment horizontal="center" vertical="center" wrapText="1"/>
    </xf>
    <xf numFmtId="49" fontId="29" fillId="0" borderId="28" xfId="0" applyNumberFormat="1" applyFont="1" applyBorder="1" applyAlignment="1">
      <alignment horizontal="center" vertical="center" wrapText="1"/>
    </xf>
    <xf numFmtId="0" fontId="9" fillId="0" borderId="0" xfId="2"/>
    <xf numFmtId="0" fontId="42" fillId="0" borderId="20" xfId="2" applyFont="1" applyFill="1" applyBorder="1" applyAlignment="1">
      <alignment horizontal="center" vertical="center" wrapText="1"/>
    </xf>
    <xf numFmtId="0" fontId="42" fillId="0" borderId="17" xfId="2" applyFont="1" applyFill="1" applyBorder="1" applyAlignment="1">
      <alignment wrapText="1"/>
    </xf>
    <xf numFmtId="0" fontId="42" fillId="0" borderId="17" xfId="2" applyFont="1" applyFill="1" applyBorder="1" applyAlignment="1">
      <alignment horizontal="center" vertical="center" wrapText="1"/>
    </xf>
    <xf numFmtId="0" fontId="42" fillId="0" borderId="19" xfId="2" applyFont="1" applyFill="1" applyBorder="1" applyAlignment="1">
      <alignment horizontal="center" vertical="center" wrapText="1"/>
    </xf>
    <xf numFmtId="0" fontId="42" fillId="0" borderId="27" xfId="2" applyFont="1" applyBorder="1"/>
    <xf numFmtId="10" fontId="42" fillId="0" borderId="0" xfId="2" applyNumberFormat="1" applyFont="1" applyBorder="1"/>
    <xf numFmtId="3" fontId="42" fillId="0" borderId="27" xfId="2" applyNumberFormat="1" applyFont="1" applyBorder="1"/>
    <xf numFmtId="3" fontId="42" fillId="0" borderId="0" xfId="2" applyNumberFormat="1" applyFont="1" applyBorder="1"/>
    <xf numFmtId="3" fontId="42" fillId="0" borderId="26" xfId="2" applyNumberFormat="1" applyFont="1" applyBorder="1"/>
    <xf numFmtId="3" fontId="42" fillId="0" borderId="24" xfId="2" applyNumberFormat="1" applyFont="1" applyBorder="1"/>
    <xf numFmtId="3" fontId="42" fillId="0" borderId="28" xfId="2" applyNumberFormat="1" applyFont="1" applyBorder="1"/>
    <xf numFmtId="0" fontId="42" fillId="0" borderId="20" xfId="2" applyFont="1" applyBorder="1"/>
    <xf numFmtId="10" fontId="42" fillId="0" borderId="20" xfId="2" applyNumberFormat="1" applyFont="1" applyBorder="1"/>
    <xf numFmtId="3" fontId="43" fillId="0" borderId="20" xfId="2" applyNumberFormat="1" applyFont="1" applyBorder="1"/>
    <xf numFmtId="0" fontId="42" fillId="0" borderId="0" xfId="2" applyFont="1" applyFill="1" applyBorder="1"/>
    <xf numFmtId="0" fontId="42" fillId="0" borderId="0" xfId="2" applyFont="1"/>
    <xf numFmtId="0" fontId="43" fillId="0" borderId="0" xfId="2" applyFont="1"/>
    <xf numFmtId="0" fontId="44" fillId="0" borderId="0" xfId="0" applyFont="1"/>
    <xf numFmtId="0" fontId="9" fillId="0" borderId="0" xfId="5"/>
    <xf numFmtId="0" fontId="42" fillId="0" borderId="20" xfId="5" applyFont="1" applyFill="1" applyBorder="1" applyAlignment="1">
      <alignment horizontal="center" vertical="center" wrapText="1"/>
    </xf>
    <xf numFmtId="0" fontId="42" fillId="0" borderId="17" xfId="5" applyFont="1" applyFill="1" applyBorder="1" applyAlignment="1">
      <alignment horizontal="center" vertical="center" wrapText="1"/>
    </xf>
    <xf numFmtId="0" fontId="42" fillId="0" borderId="19" xfId="5" applyFont="1" applyFill="1" applyBorder="1" applyAlignment="1">
      <alignment horizontal="center" vertical="center" wrapText="1"/>
    </xf>
    <xf numFmtId="0" fontId="42" fillId="0" borderId="27" xfId="5" applyFont="1" applyBorder="1"/>
    <xf numFmtId="10" fontId="42" fillId="0" borderId="0" xfId="5" applyNumberFormat="1" applyFont="1" applyBorder="1"/>
    <xf numFmtId="3" fontId="42" fillId="0" borderId="27" xfId="5" applyNumberFormat="1" applyFont="1" applyBorder="1"/>
    <xf numFmtId="3" fontId="42" fillId="0" borderId="0" xfId="5" applyNumberFormat="1" applyFont="1" applyBorder="1"/>
    <xf numFmtId="3" fontId="42" fillId="0" borderId="26" xfId="5" applyNumberFormat="1" applyFont="1" applyBorder="1"/>
    <xf numFmtId="3" fontId="42" fillId="0" borderId="24" xfId="5" applyNumberFormat="1" applyFont="1" applyBorder="1"/>
    <xf numFmtId="3" fontId="42" fillId="0" borderId="28" xfId="5" applyNumberFormat="1" applyFont="1" applyBorder="1"/>
    <xf numFmtId="0" fontId="42" fillId="0" borderId="20" xfId="5" applyFont="1" applyBorder="1"/>
    <xf numFmtId="10" fontId="42" fillId="0" borderId="20" xfId="5" applyNumberFormat="1" applyFont="1" applyBorder="1"/>
    <xf numFmtId="3" fontId="43" fillId="0" borderId="20" xfId="5" applyNumberFormat="1" applyFont="1" applyBorder="1"/>
    <xf numFmtId="0" fontId="42" fillId="0" borderId="0" xfId="5" applyFont="1" applyFill="1" applyBorder="1"/>
    <xf numFmtId="0" fontId="42" fillId="0" borderId="0" xfId="5" applyFont="1"/>
    <xf numFmtId="4" fontId="9" fillId="0" borderId="0" xfId="5" applyNumberFormat="1"/>
    <xf numFmtId="0" fontId="42" fillId="0" borderId="17" xfId="5" applyFont="1" applyFill="1" applyBorder="1" applyAlignment="1">
      <alignment wrapText="1"/>
    </xf>
    <xf numFmtId="10" fontId="42" fillId="0" borderId="26" xfId="5" applyNumberFormat="1" applyFont="1" applyBorder="1" applyAlignment="1">
      <alignment horizontal="right"/>
    </xf>
    <xf numFmtId="10" fontId="42" fillId="0" borderId="27" xfId="5" applyNumberFormat="1" applyFont="1" applyBorder="1" applyAlignment="1">
      <alignment horizontal="right"/>
    </xf>
    <xf numFmtId="10" fontId="42" fillId="0" borderId="28" xfId="5" applyNumberFormat="1" applyFont="1" applyBorder="1" applyAlignment="1">
      <alignment horizontal="right"/>
    </xf>
    <xf numFmtId="10" fontId="42" fillId="0" borderId="20" xfId="5" applyNumberFormat="1" applyFont="1" applyBorder="1" applyAlignment="1">
      <alignment horizontal="right"/>
    </xf>
    <xf numFmtId="0" fontId="42" fillId="0" borderId="0" xfId="6" applyFont="1" applyFill="1" applyBorder="1"/>
    <xf numFmtId="0" fontId="9" fillId="0" borderId="0" xfId="6"/>
    <xf numFmtId="10" fontId="42" fillId="0" borderId="26" xfId="2" applyNumberFormat="1" applyFont="1" applyBorder="1" applyAlignment="1">
      <alignment horizontal="right"/>
    </xf>
    <xf numFmtId="4" fontId="42" fillId="0" borderId="27" xfId="2" applyNumberFormat="1" applyFont="1" applyBorder="1"/>
    <xf numFmtId="4" fontId="42" fillId="0" borderId="0" xfId="2" applyNumberFormat="1" applyFont="1" applyBorder="1"/>
    <xf numFmtId="4" fontId="42" fillId="0" borderId="26" xfId="2" applyNumberFormat="1" applyFont="1" applyBorder="1"/>
    <xf numFmtId="4" fontId="42" fillId="0" borderId="24" xfId="2" applyNumberFormat="1" applyFont="1" applyBorder="1"/>
    <xf numFmtId="10" fontId="42" fillId="0" borderId="27" xfId="2" applyNumberFormat="1" applyFont="1" applyBorder="1" applyAlignment="1">
      <alignment horizontal="right"/>
    </xf>
    <xf numFmtId="10" fontId="42" fillId="0" borderId="20" xfId="2" applyNumberFormat="1" applyFont="1" applyBorder="1" applyAlignment="1">
      <alignment horizontal="right"/>
    </xf>
    <xf numFmtId="4" fontId="42" fillId="0" borderId="20" xfId="2" applyNumberFormat="1" applyFont="1" applyBorder="1"/>
    <xf numFmtId="10" fontId="42" fillId="0" borderId="28" xfId="2" applyNumberFormat="1" applyFont="1" applyBorder="1" applyAlignment="1">
      <alignment horizontal="right"/>
    </xf>
    <xf numFmtId="4" fontId="42" fillId="0" borderId="28" xfId="2" applyNumberFormat="1" applyFont="1" applyBorder="1"/>
    <xf numFmtId="4" fontId="43" fillId="0" borderId="20" xfId="2" applyNumberFormat="1" applyFont="1" applyBorder="1"/>
    <xf numFmtId="4" fontId="9" fillId="0" borderId="0" xfId="2" applyNumberFormat="1"/>
    <xf numFmtId="10" fontId="42" fillId="0" borderId="0" xfId="2" applyNumberFormat="1" applyFont="1" applyBorder="1" applyAlignment="1">
      <alignment horizontal="right"/>
    </xf>
    <xf numFmtId="4" fontId="43" fillId="0" borderId="0" xfId="2" applyNumberFormat="1" applyFont="1" applyBorder="1"/>
    <xf numFmtId="0" fontId="42" fillId="0" borderId="0" xfId="2" applyFont="1" applyBorder="1"/>
    <xf numFmtId="0" fontId="6" fillId="0" borderId="14" xfId="0" applyFont="1" applyFill="1" applyBorder="1" applyAlignment="1">
      <alignment horizontal="center"/>
    </xf>
    <xf numFmtId="0" fontId="6" fillId="0" borderId="13" xfId="0" applyFont="1" applyFill="1" applyBorder="1" applyAlignment="1">
      <alignment horizontal="center"/>
    </xf>
    <xf numFmtId="0" fontId="6" fillId="0" borderId="11" xfId="0" applyFont="1" applyFill="1" applyBorder="1" applyAlignment="1">
      <alignment horizontal="center"/>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1" xfId="0" applyFont="1" applyFill="1" applyBorder="1" applyAlignment="1">
      <alignment horizontal="center" vertical="distributed"/>
    </xf>
    <xf numFmtId="0" fontId="35" fillId="0" borderId="1" xfId="0" applyFont="1" applyFill="1" applyBorder="1" applyAlignment="1">
      <alignment horizontal="center" vertical="distributed"/>
    </xf>
    <xf numFmtId="0" fontId="6" fillId="0" borderId="0" xfId="0" applyFont="1" applyAlignment="1">
      <alignment horizontal="center"/>
    </xf>
    <xf numFmtId="0" fontId="6" fillId="0" borderId="0" xfId="0" applyFont="1" applyAlignment="1">
      <alignment horizontal="center" vertical="justify"/>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1" xfId="0" applyFont="1" applyBorder="1" applyAlignment="1">
      <alignment horizontal="center" vertical="distributed"/>
    </xf>
    <xf numFmtId="0" fontId="6" fillId="0" borderId="66"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3" fillId="0" borderId="1" xfId="0" applyFont="1" applyBorder="1" applyAlignment="1">
      <alignment horizontal="center"/>
    </xf>
    <xf numFmtId="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57" xfId="0"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38" xfId="0" applyFont="1" applyBorder="1" applyAlignment="1">
      <alignment horizontal="center" vertical="center" wrapText="1"/>
    </xf>
    <xf numFmtId="0" fontId="8" fillId="0" borderId="24" xfId="0" applyFont="1" applyBorder="1" applyAlignment="1">
      <alignment horizontal="center" vertical="center" wrapText="1"/>
    </xf>
    <xf numFmtId="0" fontId="26" fillId="0" borderId="0" xfId="0" applyFont="1" applyAlignment="1">
      <alignment horizontal="center"/>
    </xf>
    <xf numFmtId="0" fontId="25" fillId="0" borderId="0" xfId="0" applyFont="1" applyAlignment="1">
      <alignment horizontal="center" vertical="justify"/>
    </xf>
    <xf numFmtId="0" fontId="3" fillId="0" borderId="0" xfId="0" applyFont="1" applyAlignment="1">
      <alignment horizontal="center"/>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29"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6" fillId="0" borderId="16" xfId="0" applyFont="1" applyBorder="1" applyAlignment="1">
      <alignment horizontal="center" vertical="center" wrapText="1"/>
    </xf>
    <xf numFmtId="0" fontId="36" fillId="0" borderId="19" xfId="0" applyFont="1" applyBorder="1" applyAlignment="1">
      <alignment horizontal="center" vertical="center" wrapText="1"/>
    </xf>
    <xf numFmtId="0" fontId="0" fillId="0" borderId="1" xfId="0" applyBorder="1" applyAlignment="1">
      <alignment vertical="center" wrapText="1"/>
    </xf>
    <xf numFmtId="2" fontId="3" fillId="0" borderId="1" xfId="0" applyNumberFormat="1" applyFont="1" applyBorder="1" applyAlignment="1">
      <alignment horizontal="center" wrapText="1"/>
    </xf>
    <xf numFmtId="0" fontId="0" fillId="0" borderId="57" xfId="0" applyBorder="1" applyAlignment="1">
      <alignment vertical="center" wrapText="1"/>
    </xf>
    <xf numFmtId="0" fontId="3" fillId="0" borderId="14" xfId="0" applyFont="1" applyBorder="1" applyAlignment="1">
      <alignment horizontal="center" vertical="center" wrapText="1"/>
    </xf>
    <xf numFmtId="0" fontId="6" fillId="0" borderId="65"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Alignment="1">
      <alignment horizontal="left" vertical="center" wrapText="1"/>
    </xf>
    <xf numFmtId="0" fontId="0" fillId="0" borderId="11" xfId="0" applyBorder="1" applyAlignment="1">
      <alignment horizontal="center" vertical="center" wrapText="1"/>
    </xf>
    <xf numFmtId="0" fontId="10" fillId="0" borderId="26" xfId="0" applyFont="1" applyFill="1" applyBorder="1" applyAlignment="1">
      <alignment horizontal="center" vertical="center" wrapText="1"/>
    </xf>
    <xf numFmtId="0" fontId="28" fillId="0" borderId="27" xfId="0" applyFont="1" applyBorder="1" applyAlignment="1">
      <alignment horizontal="center" vertical="center" wrapText="1"/>
    </xf>
    <xf numFmtId="2" fontId="10" fillId="0" borderId="21" xfId="0" applyNumberFormat="1" applyFont="1" applyFill="1" applyBorder="1" applyAlignment="1">
      <alignment horizontal="center" vertical="center" wrapText="1"/>
    </xf>
    <xf numFmtId="2" fontId="10" fillId="0" borderId="25" xfId="0" applyNumberFormat="1" applyFont="1" applyFill="1" applyBorder="1" applyAlignment="1">
      <alignment horizontal="center" vertical="center" wrapText="1"/>
    </xf>
    <xf numFmtId="2" fontId="10" fillId="0" borderId="39" xfId="0" applyNumberFormat="1" applyFont="1" applyFill="1" applyBorder="1" applyAlignment="1">
      <alignment horizontal="center" vertical="center" wrapText="1"/>
    </xf>
    <xf numFmtId="2" fontId="10" fillId="0" borderId="40" xfId="0" applyNumberFormat="1" applyFont="1" applyFill="1" applyBorder="1" applyAlignment="1">
      <alignment horizontal="center" vertical="center" wrapText="1"/>
    </xf>
    <xf numFmtId="4" fontId="10" fillId="0" borderId="26" xfId="0" applyNumberFormat="1" applyFont="1" applyFill="1" applyBorder="1" applyAlignment="1">
      <alignment horizontal="center" vertical="center" wrapText="1"/>
    </xf>
    <xf numFmtId="4" fontId="10" fillId="0" borderId="27"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4" fontId="7" fillId="0" borderId="25" xfId="0"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28" fillId="0" borderId="28" xfId="0" applyFont="1" applyBorder="1" applyAlignment="1">
      <alignment horizontal="center" vertical="center" wrapText="1"/>
    </xf>
    <xf numFmtId="4" fontId="7" fillId="0" borderId="26" xfId="0" applyNumberFormat="1" applyFont="1" applyFill="1" applyBorder="1" applyAlignment="1">
      <alignment horizontal="center" vertical="center" wrapText="1"/>
    </xf>
    <xf numFmtId="0" fontId="33" fillId="0" borderId="27" xfId="0" applyFont="1" applyBorder="1" applyAlignment="1">
      <alignment horizontal="center" vertical="center" wrapText="1"/>
    </xf>
    <xf numFmtId="0" fontId="33" fillId="0" borderId="28" xfId="0" applyFont="1" applyBorder="1" applyAlignment="1">
      <alignment horizontal="center" vertical="center" wrapText="1"/>
    </xf>
    <xf numFmtId="0" fontId="38" fillId="0" borderId="0" xfId="0" applyFont="1" applyFill="1" applyAlignment="1">
      <alignment horizontal="left" vertical="justify"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Border="1" applyAlignment="1">
      <alignment horizontal="center" vertical="center" wrapText="1"/>
    </xf>
    <xf numFmtId="4" fontId="10" fillId="0" borderId="22" xfId="0" applyNumberFormat="1" applyFont="1" applyFill="1" applyBorder="1" applyAlignment="1">
      <alignment horizontal="center" vertical="center" wrapText="1"/>
    </xf>
    <xf numFmtId="0" fontId="28" fillId="0" borderId="24" xfId="0" applyFont="1" applyBorder="1" applyAlignment="1">
      <alignment horizontal="center" vertical="center" wrapText="1"/>
    </xf>
    <xf numFmtId="0" fontId="7"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31" fillId="0" borderId="0" xfId="0" applyFont="1" applyFill="1" applyAlignment="1">
      <alignment horizontal="justify" vertical="justify" wrapText="1"/>
    </xf>
    <xf numFmtId="0" fontId="28" fillId="0" borderId="0" xfId="0" applyFont="1" applyAlignment="1">
      <alignment horizontal="left" vertical="center" wrapText="1"/>
    </xf>
    <xf numFmtId="0" fontId="0" fillId="0" borderId="0" xfId="0" applyAlignment="1">
      <alignment vertical="center" wrapText="1"/>
    </xf>
    <xf numFmtId="0" fontId="34" fillId="0" borderId="0" xfId="0" applyFont="1" applyFill="1" applyAlignment="1">
      <alignment horizontal="left" vertical="center" wrapText="1"/>
    </xf>
    <xf numFmtId="0" fontId="3" fillId="0" borderId="2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0" xfId="0" applyFont="1" applyAlignment="1">
      <alignment horizontal="center" vertical="center"/>
    </xf>
    <xf numFmtId="0" fontId="3" fillId="0" borderId="29" xfId="0" applyFont="1" applyBorder="1" applyAlignment="1">
      <alignment horizontal="center" vertical="center" textRotation="90"/>
    </xf>
    <xf numFmtId="0" fontId="3" fillId="0" borderId="72" xfId="0" applyFont="1" applyBorder="1" applyAlignment="1">
      <alignment horizontal="center" vertical="center" textRotation="90"/>
    </xf>
    <xf numFmtId="0" fontId="3" fillId="0" borderId="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1" fontId="3" fillId="0" borderId="39" xfId="0" applyNumberFormat="1" applyFont="1" applyBorder="1" applyAlignment="1">
      <alignment horizontal="center"/>
    </xf>
    <xf numFmtId="1" fontId="3" fillId="0" borderId="41" xfId="0" applyNumberFormat="1" applyFont="1" applyBorder="1" applyAlignment="1">
      <alignment horizontal="center"/>
    </xf>
    <xf numFmtId="0" fontId="3" fillId="0" borderId="39" xfId="0" applyFont="1" applyBorder="1" applyAlignment="1">
      <alignment horizontal="center"/>
    </xf>
    <xf numFmtId="0" fontId="3" fillId="0" borderId="41" xfId="0" applyFont="1" applyBorder="1" applyAlignment="1">
      <alignment horizontal="center"/>
    </xf>
    <xf numFmtId="0" fontId="8" fillId="0" borderId="0" xfId="0" applyFont="1" applyBorder="1" applyAlignment="1">
      <alignment horizontal="center"/>
    </xf>
    <xf numFmtId="0" fontId="30" fillId="0" borderId="0" xfId="0" applyFont="1" applyFill="1" applyBorder="1" applyAlignment="1">
      <alignment vertical="justify" wrapText="1"/>
    </xf>
    <xf numFmtId="0" fontId="33" fillId="0" borderId="0" xfId="0" applyFont="1" applyAlignment="1">
      <alignment vertical="justify" wrapText="1"/>
    </xf>
    <xf numFmtId="0" fontId="0" fillId="0" borderId="0" xfId="0" applyFill="1" applyAlignment="1">
      <alignment horizontal="left" vertical="center" wrapText="1"/>
    </xf>
    <xf numFmtId="0" fontId="6" fillId="0" borderId="0" xfId="0" applyFont="1" applyBorder="1" applyAlignment="1">
      <alignment horizontal="center"/>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0" fillId="0" borderId="0" xfId="0" applyAlignment="1">
      <alignment horizontal="left" vertical="justify"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7" fillId="0" borderId="26" xfId="0" applyFont="1" applyFill="1" applyBorder="1" applyAlignment="1">
      <alignment horizontal="center" vertical="distributed"/>
    </xf>
    <xf numFmtId="0" fontId="7" fillId="0" borderId="27" xfId="0" applyFont="1" applyFill="1" applyBorder="1" applyAlignment="1">
      <alignment horizontal="center" vertical="distributed"/>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7" fillId="0" borderId="27" xfId="0" applyFont="1" applyFill="1" applyBorder="1" applyAlignment="1">
      <alignment horizontal="center" vertical="center" wrapText="1"/>
    </xf>
    <xf numFmtId="0" fontId="0" fillId="0" borderId="0" xfId="0" applyAlignment="1">
      <alignment horizontal="right"/>
    </xf>
    <xf numFmtId="0" fontId="27" fillId="0" borderId="0" xfId="0" applyFont="1" applyFill="1" applyAlignment="1">
      <alignment horizontal="left" vertical="center" wrapText="1"/>
    </xf>
    <xf numFmtId="0" fontId="0" fillId="0" borderId="0" xfId="0" applyAlignment="1">
      <alignment horizontal="justify" vertical="justify" wrapText="1"/>
    </xf>
    <xf numFmtId="0" fontId="8" fillId="0" borderId="26" xfId="0" applyFont="1" applyFill="1" applyBorder="1" applyAlignment="1">
      <alignment horizontal="center" vertical="distributed"/>
    </xf>
    <xf numFmtId="0" fontId="8" fillId="0" borderId="27" xfId="0" applyFont="1" applyFill="1" applyBorder="1" applyAlignment="1">
      <alignment horizontal="center" vertical="distributed"/>
    </xf>
    <xf numFmtId="0" fontId="3" fillId="0" borderId="0" xfId="0" applyFont="1" applyFill="1" applyBorder="1" applyAlignment="1">
      <alignment horizontal="center" wrapText="1"/>
    </xf>
    <xf numFmtId="0" fontId="26" fillId="0" borderId="40" xfId="0" applyFont="1" applyBorder="1" applyAlignment="1">
      <alignment horizontal="center"/>
    </xf>
    <xf numFmtId="0" fontId="8" fillId="0" borderId="2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17" xfId="0" applyFont="1" applyFill="1" applyBorder="1" applyAlignment="1">
      <alignment horizontal="center" wrapText="1"/>
    </xf>
    <xf numFmtId="0" fontId="8" fillId="0" borderId="19" xfId="0" applyFont="1" applyFill="1" applyBorder="1" applyAlignment="1">
      <alignment horizontal="center" wrapText="1"/>
    </xf>
    <xf numFmtId="0" fontId="8" fillId="0" borderId="16" xfId="0" applyFont="1" applyFill="1" applyBorder="1" applyAlignment="1">
      <alignment horizontal="center" wrapText="1"/>
    </xf>
    <xf numFmtId="0" fontId="8" fillId="0" borderId="26" xfId="0" applyFont="1" applyBorder="1" applyAlignment="1">
      <alignment horizontal="center" vertical="distributed"/>
    </xf>
    <xf numFmtId="0" fontId="8" fillId="0" borderId="27" xfId="0" applyFont="1" applyBorder="1" applyAlignment="1">
      <alignment horizontal="center" vertical="distributed"/>
    </xf>
    <xf numFmtId="0" fontId="8" fillId="0" borderId="26" xfId="0" applyFont="1" applyFill="1" applyBorder="1" applyAlignment="1">
      <alignment horizontal="center" vertical="distributed" wrapText="1"/>
    </xf>
    <xf numFmtId="0" fontId="8" fillId="0" borderId="27" xfId="0" applyFont="1" applyFill="1" applyBorder="1" applyAlignment="1">
      <alignment horizontal="center" vertical="distributed" wrapText="1"/>
    </xf>
    <xf numFmtId="0" fontId="10" fillId="0" borderId="26" xfId="0" applyFont="1" applyFill="1" applyBorder="1" applyAlignment="1">
      <alignment horizontal="center" vertical="distributed"/>
    </xf>
    <xf numFmtId="0" fontId="10" fillId="0" borderId="27" xfId="0" applyFont="1" applyFill="1" applyBorder="1" applyAlignment="1">
      <alignment horizontal="center" vertical="distributed"/>
    </xf>
    <xf numFmtId="0" fontId="0" fillId="0" borderId="0" xfId="0" applyFont="1" applyAlignment="1">
      <alignment horizontal="justify" vertical="justify"/>
    </xf>
    <xf numFmtId="0" fontId="0" fillId="0" borderId="0" xfId="0" applyFont="1" applyFill="1" applyAlignment="1">
      <alignment horizontal="justify"/>
    </xf>
    <xf numFmtId="0" fontId="3" fillId="0" borderId="0" xfId="0" applyFont="1" applyBorder="1" applyAlignment="1">
      <alignment horizontal="center" vertical="center" wrapText="1"/>
    </xf>
    <xf numFmtId="2" fontId="8" fillId="0" borderId="46" xfId="0" applyNumberFormat="1" applyFont="1" applyFill="1" applyBorder="1" applyAlignment="1">
      <alignment horizontal="center" vertical="center" wrapText="1"/>
    </xf>
    <xf numFmtId="2" fontId="11" fillId="0" borderId="8" xfId="0" applyNumberFormat="1" applyFont="1" applyFill="1" applyBorder="1" applyAlignment="1">
      <alignment horizontal="center" vertical="center" wrapText="1"/>
    </xf>
    <xf numFmtId="2" fontId="8" fillId="0" borderId="26" xfId="0" applyNumberFormat="1" applyFont="1" applyFill="1" applyBorder="1" applyAlignment="1">
      <alignment horizontal="center" vertical="center" wrapText="1"/>
    </xf>
    <xf numFmtId="2" fontId="11" fillId="0" borderId="27"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0" fillId="0" borderId="0" xfId="0" applyFont="1" applyAlignment="1">
      <alignment horizontal="justify"/>
    </xf>
    <xf numFmtId="0" fontId="3" fillId="0" borderId="12" xfId="0" applyFont="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center"/>
    </xf>
    <xf numFmtId="0" fontId="3" fillId="0" borderId="11" xfId="0" applyFont="1" applyFill="1" applyBorder="1" applyAlignment="1">
      <alignment horizontal="center"/>
    </xf>
    <xf numFmtId="0" fontId="3" fillId="0" borderId="1" xfId="0" applyFont="1" applyFill="1" applyBorder="1" applyAlignment="1">
      <alignment horizontal="center" vertical="center"/>
    </xf>
    <xf numFmtId="0" fontId="24" fillId="0" borderId="0" xfId="0" applyFont="1" applyAlignment="1">
      <alignment horizontal="center"/>
    </xf>
    <xf numFmtId="0" fontId="2" fillId="0" borderId="0" xfId="0" applyFont="1" applyFill="1" applyBorder="1" applyAlignment="1">
      <alignment horizontal="justify" vertical="justify"/>
    </xf>
    <xf numFmtId="0" fontId="39" fillId="0" borderId="0" xfId="2" applyFont="1" applyAlignment="1">
      <alignment horizontal="center"/>
    </xf>
    <xf numFmtId="0" fontId="40" fillId="0" borderId="0" xfId="2" applyFont="1" applyAlignment="1">
      <alignment horizontal="center"/>
    </xf>
    <xf numFmtId="0" fontId="41" fillId="0" borderId="0" xfId="2" applyFont="1" applyAlignment="1">
      <alignment horizontal="center"/>
    </xf>
    <xf numFmtId="0" fontId="44" fillId="0" borderId="0" xfId="0" applyFont="1" applyAlignment="1">
      <alignment horizontal="left" vertical="distributed"/>
    </xf>
    <xf numFmtId="0" fontId="39" fillId="0" borderId="0" xfId="5" applyFont="1" applyAlignment="1">
      <alignment horizontal="center"/>
    </xf>
    <xf numFmtId="0" fontId="40" fillId="0" borderId="0" xfId="5" applyFont="1" applyAlignment="1">
      <alignment horizontal="center"/>
    </xf>
    <xf numFmtId="0" fontId="41" fillId="0" borderId="0" xfId="5" applyFont="1" applyAlignment="1">
      <alignment horizontal="center"/>
    </xf>
    <xf numFmtId="0" fontId="9" fillId="0" borderId="0" xfId="6" applyFont="1" applyAlignment="1">
      <alignment vertical="justify" wrapText="1"/>
    </xf>
    <xf numFmtId="0" fontId="0" fillId="0" borderId="0" xfId="0" applyAlignment="1">
      <alignment vertical="justify" wrapText="1"/>
    </xf>
    <xf numFmtId="0" fontId="42" fillId="0" borderId="0" xfId="2" applyFont="1" applyAlignment="1">
      <alignment vertical="justify" wrapText="1"/>
    </xf>
  </cellXfs>
  <cellStyles count="7">
    <cellStyle name="Hipervínculo" xfId="3" builtinId="8"/>
    <cellStyle name="Moneda" xfId="1" builtinId="4"/>
    <cellStyle name="Moneda 2" xfId="4"/>
    <cellStyle name="Normal" xfId="0" builtinId="0"/>
    <cellStyle name="Normal 2" xfId="2"/>
    <cellStyle name="Normal 3" xfId="5"/>
    <cellStyle name="Normal 3 2" xfId="6"/>
  </cellStyles>
  <dxfs count="17">
    <dxf>
      <font>
        <strike val="0"/>
        <outline val="0"/>
        <shadow val="0"/>
        <u val="none"/>
        <vertAlign val="baseline"/>
        <sz val="10"/>
        <color theme="1" tint="0.14999847407452621"/>
        <name val="Segoe UI"/>
        <scheme val="none"/>
      </font>
      <numFmt numFmtId="175" formatCode="_-* #,##0.00\ [$€-C0A]_-;\-* #,##0.00\ [$€-C0A]_-;_-* &quot;-&quot;??\ [$€-C0A]_-;_-@_-"/>
    </dxf>
    <dxf>
      <font>
        <strike val="0"/>
        <outline val="0"/>
        <shadow val="0"/>
        <u val="none"/>
        <vertAlign val="baseline"/>
        <sz val="10"/>
        <color theme="1" tint="0.14999847407452621"/>
        <name val="Segoe UI"/>
        <scheme val="none"/>
      </font>
      <numFmt numFmtId="175" formatCode="_-* #,##0.00\ [$€-C0A]_-;\-* #,##0.00\ [$€-C0A]_-;_-* &quot;-&quot;??\ [$€-C0A]_-;_-@_-"/>
      <alignment horizontal="left" vertical="bottom" textRotation="0" wrapText="0" indent="0" justifyLastLine="0" shrinkToFit="0" readingOrder="0"/>
    </dxf>
    <dxf>
      <font>
        <strike val="0"/>
        <outline val="0"/>
        <shadow val="0"/>
        <u val="none"/>
        <vertAlign val="baseline"/>
        <sz val="10"/>
        <color theme="1" tint="0.14999847407452621"/>
        <name val="Segoe UI"/>
        <scheme val="none"/>
      </font>
      <alignment horizontal="left" vertical="bottom" textRotation="0" wrapText="0" indent="1" justifyLastLine="0" shrinkToFit="0" readingOrder="0"/>
    </dxf>
    <dxf>
      <font>
        <strike val="0"/>
        <outline val="0"/>
        <shadow val="0"/>
        <u val="none"/>
        <vertAlign val="baseline"/>
        <sz val="10"/>
        <color theme="1" tint="0.14999847407452621"/>
        <name val="Segoe UI"/>
        <scheme val="none"/>
      </font>
    </dxf>
    <dxf>
      <font>
        <strike val="0"/>
        <outline val="0"/>
        <shadow val="0"/>
        <u val="none"/>
        <vertAlign val="baseline"/>
        <sz val="11"/>
        <color theme="1"/>
        <name val="Segoe UI"/>
        <scheme val="none"/>
      </font>
    </dxf>
    <dxf>
      <font>
        <strike val="0"/>
        <outline val="0"/>
        <shadow val="0"/>
        <u val="none"/>
        <vertAlign val="baseline"/>
        <sz val="10"/>
        <color theme="1" tint="0.14999847407452621"/>
        <name val="Segoe UI"/>
        <scheme val="none"/>
      </font>
      <numFmt numFmtId="175" formatCode="_-* #,##0.00\ [$€-C0A]_-;\-* #,##0.00\ [$€-C0A]_-;_-* &quot;-&quot;??\ [$€-C0A]_-;_-@_-"/>
    </dxf>
    <dxf>
      <font>
        <strike val="0"/>
        <outline val="0"/>
        <shadow val="0"/>
        <u val="none"/>
        <vertAlign val="baseline"/>
        <sz val="10"/>
        <color theme="1" tint="0.14999847407452621"/>
        <name val="Segoe UI"/>
        <scheme val="none"/>
      </font>
      <numFmt numFmtId="175" formatCode="_-* #,##0.00\ [$€-C0A]_-;\-* #,##0.00\ [$€-C0A]_-;_-* &quot;-&quot;??\ [$€-C0A]_-;_-@_-"/>
    </dxf>
    <dxf>
      <font>
        <strike val="0"/>
        <outline val="0"/>
        <shadow val="0"/>
        <u val="none"/>
        <vertAlign val="baseline"/>
        <sz val="10"/>
        <color theme="1" tint="0.14999847407452621"/>
        <name val="Segoe UI"/>
        <scheme val="none"/>
      </font>
    </dxf>
    <dxf>
      <font>
        <strike val="0"/>
        <outline val="0"/>
        <shadow val="0"/>
        <u val="none"/>
        <vertAlign val="baseline"/>
        <sz val="10"/>
        <color theme="1" tint="0.14999847407452621"/>
        <name val="Segoe UI"/>
        <scheme val="none"/>
      </font>
      <alignment horizontal="left" vertical="bottom" textRotation="0" wrapText="0" indent="1" justifyLastLine="0" shrinkToFit="0" readingOrder="0"/>
    </dxf>
    <dxf>
      <font>
        <strike val="0"/>
        <outline val="0"/>
        <shadow val="0"/>
        <u val="none"/>
        <vertAlign val="baseline"/>
        <sz val="10"/>
        <color theme="1" tint="0.14999847407452621"/>
        <name val="Segoe UI"/>
        <scheme val="none"/>
      </font>
    </dxf>
    <dxf>
      <font>
        <strike val="0"/>
        <outline val="0"/>
        <shadow val="0"/>
        <u val="none"/>
        <vertAlign val="baseline"/>
        <sz val="11"/>
        <color theme="1"/>
        <name val="Segoe UI"/>
        <scheme val="none"/>
      </font>
    </dxf>
    <dxf>
      <font>
        <strike val="0"/>
        <outline val="0"/>
        <shadow val="0"/>
        <u val="none"/>
        <vertAlign val="baseline"/>
        <sz val="9"/>
        <color theme="1" tint="0.14999847407452621"/>
        <name val="Segoe UI"/>
        <scheme val="none"/>
      </font>
      <alignment horizontal="left" vertical="bottom" textRotation="0" wrapText="0" indent="2" justifyLastLine="0" shrinkToFit="0" readingOrder="0"/>
    </dxf>
    <dxf>
      <font>
        <strike val="0"/>
        <outline val="0"/>
        <shadow val="0"/>
        <u val="none"/>
        <vertAlign val="baseline"/>
        <sz val="10"/>
        <color theme="1" tint="0.14999847407452621"/>
        <name val="Segoe UI"/>
        <scheme val="none"/>
      </font>
      <alignment horizontal="left" vertical="bottom" textRotation="0" wrapText="0" indent="2" justifyLastLine="0" shrinkToFit="0" readingOrder="0"/>
    </dxf>
    <dxf>
      <font>
        <strike val="0"/>
        <outline val="0"/>
        <shadow val="0"/>
        <u val="none"/>
        <vertAlign val="baseline"/>
        <sz val="9"/>
        <color theme="1" tint="0.14999847407452621"/>
        <name val="Segoe UI"/>
        <scheme val="none"/>
      </font>
      <alignment horizontal="left" vertical="bottom" textRotation="0" wrapText="0" indent="2" justifyLastLine="0" shrinkToFit="0" readingOrder="0"/>
    </dxf>
    <dxf>
      <font>
        <strike val="0"/>
        <outline val="0"/>
        <shadow val="0"/>
        <u val="none"/>
        <vertAlign val="baseline"/>
        <sz val="11"/>
        <color theme="1"/>
        <name val="Segoe UI"/>
        <scheme val="none"/>
      </font>
      <alignment horizontal="left" vertical="bottom" textRotation="0" wrapText="0" indent="2" justifyLastLine="0" shrinkToFit="0" readingOrder="0"/>
    </dxf>
    <dxf>
      <fill>
        <patternFill>
          <bgColor theme="0" tint="-4.9989318521683403E-2"/>
        </patternFill>
      </fill>
    </dxf>
    <dxf>
      <font>
        <color theme="0"/>
      </font>
      <fill>
        <patternFill>
          <bgColor rgb="FF339966"/>
        </patternFill>
      </fill>
    </dxf>
  </dxfs>
  <tableStyles count="1" defaultTableStyle="TableStyleMedium2" defaultPivotStyle="PivotStyleLight16">
    <tableStyle name="CustomTableStyle" pivot="0" count="2">
      <tableStyleElement type="headerRow" dxfId="16"/>
      <tableStyleElement type="first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1. Relleno'!A1"/></Relationships>
</file>

<file path=xl/drawings/_rels/drawing2.xml.rels><?xml version="1.0" encoding="UTF-8" standalone="yes"?>
<Relationships xmlns="http://schemas.openxmlformats.org/package/2006/relationships"><Relationship Id="rId1" Type="http://schemas.openxmlformats.org/officeDocument/2006/relationships/hyperlink" Target="#'2. Analizar'!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 Gr&#225;fico'!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225;s informaci&#243;n'!A1"/></Relationships>
</file>

<file path=xl/drawings/drawing1.xml><?xml version="1.0" encoding="utf-8"?>
<xdr:wsDr xmlns:xdr="http://schemas.openxmlformats.org/drawingml/2006/spreadsheetDrawing" xmlns:a="http://schemas.openxmlformats.org/drawingml/2006/main">
  <xdr:twoCellAnchor>
    <xdr:from>
      <xdr:col>1</xdr:col>
      <xdr:colOff>142877</xdr:colOff>
      <xdr:row>3</xdr:row>
      <xdr:rowOff>0</xdr:rowOff>
    </xdr:from>
    <xdr:to>
      <xdr:col>11</xdr:col>
      <xdr:colOff>114300</xdr:colOff>
      <xdr:row>9</xdr:row>
      <xdr:rowOff>9525</xdr:rowOff>
    </xdr:to>
    <xdr:grpSp>
      <xdr:nvGrpSpPr>
        <xdr:cNvPr id="2" name="Bienvenido"/>
        <xdr:cNvGrpSpPr/>
      </xdr:nvGrpSpPr>
      <xdr:grpSpPr>
        <a:xfrm>
          <a:off x="752477" y="1257300"/>
          <a:ext cx="5981698" cy="2428875"/>
          <a:chOff x="790577" y="1495425"/>
          <a:chExt cx="5981698" cy="2609850"/>
        </a:xfrm>
      </xdr:grpSpPr>
      <xdr:sp macro="" textlink="">
        <xdr:nvSpPr>
          <xdr:cNvPr id="3" name="Cuadro de bienvenida"/>
          <xdr:cNvSpPr/>
        </xdr:nvSpPr>
        <xdr:spPr>
          <a:xfrm>
            <a:off x="790577" y="1495425"/>
            <a:ext cx="5981698" cy="2609850"/>
          </a:xfrm>
          <a:custGeom>
            <a:avLst/>
            <a:gdLst>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270342 w 3295650"/>
              <a:gd name="connsiteY14" fmla="*/ 658837 h 2419350"/>
              <a:gd name="connsiteX15" fmla="*/ 0 w 3295650"/>
              <a:gd name="connsiteY15" fmla="*/ 403225 h 2419350"/>
              <a:gd name="connsiteX16" fmla="*/ 0 w 3295650"/>
              <a:gd name="connsiteY16" fmla="*/ 0 h 2419350"/>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5883 w 3295650"/>
              <a:gd name="connsiteY14" fmla="*/ 696937 h 2419350"/>
              <a:gd name="connsiteX15" fmla="*/ 0 w 3295650"/>
              <a:gd name="connsiteY15" fmla="*/ 403225 h 2419350"/>
              <a:gd name="connsiteX16" fmla="*/ 0 w 3295650"/>
              <a:gd name="connsiteY16" fmla="*/ 0 h 24193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295650" h="2419350">
                <a:moveTo>
                  <a:pt x="0" y="0"/>
                </a:moveTo>
                <a:lnTo>
                  <a:pt x="549275" y="0"/>
                </a:lnTo>
                <a:lnTo>
                  <a:pt x="549275" y="0"/>
                </a:lnTo>
                <a:lnTo>
                  <a:pt x="1373188" y="0"/>
                </a:lnTo>
                <a:lnTo>
                  <a:pt x="3295650" y="0"/>
                </a:lnTo>
                <a:lnTo>
                  <a:pt x="3295650" y="403225"/>
                </a:lnTo>
                <a:lnTo>
                  <a:pt x="3295650" y="403225"/>
                </a:lnTo>
                <a:lnTo>
                  <a:pt x="3295650" y="1008063"/>
                </a:lnTo>
                <a:lnTo>
                  <a:pt x="3295650" y="2419350"/>
                </a:lnTo>
                <a:lnTo>
                  <a:pt x="1373188" y="2419350"/>
                </a:lnTo>
                <a:lnTo>
                  <a:pt x="549275" y="2419350"/>
                </a:lnTo>
                <a:lnTo>
                  <a:pt x="549275" y="2419350"/>
                </a:lnTo>
                <a:lnTo>
                  <a:pt x="0" y="2419350"/>
                </a:lnTo>
                <a:lnTo>
                  <a:pt x="0" y="1008063"/>
                </a:lnTo>
                <a:lnTo>
                  <a:pt x="5883" y="696937"/>
                </a:lnTo>
                <a:lnTo>
                  <a:pt x="0" y="403225"/>
                </a:lnTo>
                <a:lnTo>
                  <a:pt x="0" y="0"/>
                </a:lnTo>
                <a:close/>
              </a:path>
            </a:pathLst>
          </a:custGeom>
          <a:solidFill>
            <a:srgbClr val="30966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endParaRPr lang="en-US" sz="3600"/>
          </a:p>
        </xdr:txBody>
      </xdr:sp>
      <xdr:sp macro="" textlink="">
        <xdr:nvSpPr>
          <xdr:cNvPr id="4" name="Botón Siguiente">
            <a:hlinkClick xmlns:r="http://schemas.openxmlformats.org/officeDocument/2006/relationships" r:id="rId1" tooltip="Haga clic sobre mí para empezar."/>
          </xdr:cNvPr>
          <xdr:cNvSpPr/>
        </xdr:nvSpPr>
        <xdr:spPr>
          <a:xfrm>
            <a:off x="5324476" y="3457575"/>
            <a:ext cx="1200150" cy="387845"/>
          </a:xfrm>
          <a:prstGeom prst="rect">
            <a:avLst/>
          </a:prstGeom>
          <a:solidFill>
            <a:srgbClr val="0B744D"/>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lang="en-US" sz="1600">
                <a:solidFill>
                  <a:schemeClr val="bg1"/>
                </a:solidFill>
                <a:latin typeface="Segoe UI"/>
                <a:ea typeface="Segoe UI"/>
                <a:cs typeface="Segoe UI"/>
              </a:rPr>
              <a:t>  Vamos &gt;</a:t>
            </a:r>
            <a:endParaRPr lang="en-US" sz="1600"/>
          </a:p>
        </xdr:txBody>
      </xdr:sp>
      <xdr:sp macro="" textlink="">
        <xdr:nvSpPr>
          <xdr:cNvPr id="5" name="Mensaje de bienvenida"/>
          <xdr:cNvSpPr txBox="1"/>
        </xdr:nvSpPr>
        <xdr:spPr>
          <a:xfrm>
            <a:off x="892927" y="1571626"/>
            <a:ext cx="5688848" cy="1381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i="0">
                <a:solidFill>
                  <a:schemeClr val="bg1"/>
                </a:solidFill>
                <a:latin typeface="Segoe UI Semibold"/>
                <a:ea typeface="Segoe UI"/>
                <a:cs typeface="Segoe UI"/>
              </a:rPr>
              <a:t>Tres</a:t>
            </a:r>
            <a:r>
              <a:rPr lang="en-US" sz="2800" i="0">
                <a:solidFill>
                  <a:schemeClr val="bg1"/>
                </a:solidFill>
                <a:latin typeface="Segoe UI Light"/>
              </a:rPr>
              <a:t> nuevos trucos. </a:t>
            </a:r>
            <a:r>
              <a:rPr lang="en-US" sz="2800" i="0">
                <a:solidFill>
                  <a:schemeClr val="bg1"/>
                </a:solidFill>
                <a:latin typeface="Segoe UI Semibold"/>
                <a:ea typeface="Segoe UI"/>
                <a:cs typeface="Segoe UI"/>
              </a:rPr>
              <a:t>3,5</a:t>
            </a:r>
            <a:r>
              <a:rPr lang="en-US" sz="2800" i="0">
                <a:solidFill>
                  <a:schemeClr val="bg1"/>
                </a:solidFill>
                <a:latin typeface="Segoe UI Light"/>
              </a:rPr>
              <a:t> minutos para aprender. </a:t>
            </a:r>
            <a:r>
              <a:rPr lang="en-US" sz="2800" i="0">
                <a:solidFill>
                  <a:schemeClr val="bg1"/>
                </a:solidFill>
                <a:latin typeface="Segoe UI Semibold"/>
                <a:ea typeface="Segoe UI"/>
                <a:cs typeface="Segoe UI"/>
              </a:rPr>
              <a:t>Horas </a:t>
            </a:r>
            <a:r>
              <a:rPr lang="en-US" sz="2800" i="0">
                <a:solidFill>
                  <a:schemeClr val="bg1"/>
                </a:solidFill>
                <a:latin typeface="Segoe UI Light"/>
              </a:rPr>
              <a:t>guardadas cada día.</a:t>
            </a:r>
            <a:endParaRPr lang="en-US" sz="2800" i="0"/>
          </a:p>
          <a:p>
            <a:endParaRPr lang="en-US" sz="16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619125</xdr:colOff>
      <xdr:row>10</xdr:row>
      <xdr:rowOff>28575</xdr:rowOff>
    </xdr:from>
    <xdr:to>
      <xdr:col>7</xdr:col>
      <xdr:colOff>809625</xdr:colOff>
      <xdr:row>11</xdr:row>
      <xdr:rowOff>123825</xdr:rowOff>
    </xdr:to>
    <xdr:sp macro="" textlink="">
      <xdr:nvSpPr>
        <xdr:cNvPr id="2" name="Botón Siguiente">
          <a:hlinkClick xmlns:r="http://schemas.openxmlformats.org/officeDocument/2006/relationships" r:id="rId1" tooltip="Siguiente"/>
        </xdr:cNvPr>
        <xdr:cNvSpPr/>
      </xdr:nvSpPr>
      <xdr:spPr>
        <a:xfrm>
          <a:off x="4267200" y="1933575"/>
          <a:ext cx="609600" cy="285750"/>
        </a:xfrm>
        <a:prstGeom prst="rect">
          <a:avLst/>
        </a:prstGeom>
        <a:ln>
          <a:solidFill>
            <a:srgbClr val="0B744D"/>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a:solidFill>
                <a:srgbClr val="0B744D"/>
              </a:solidFill>
              <a:latin typeface="Segoe UI"/>
              <a:ea typeface="Segoe UI"/>
              <a:cs typeface="Segoe UI"/>
            </a:rPr>
            <a:t>Siguiente &gt;</a:t>
          </a:r>
        </a:p>
      </xdr:txBody>
    </xdr:sp>
    <xdr:clientData/>
  </xdr:twoCellAnchor>
  <xdr:twoCellAnchor>
    <xdr:from>
      <xdr:col>4</xdr:col>
      <xdr:colOff>467888</xdr:colOff>
      <xdr:row>3</xdr:row>
      <xdr:rowOff>0</xdr:rowOff>
    </xdr:from>
    <xdr:to>
      <xdr:col>7</xdr:col>
      <xdr:colOff>811506</xdr:colOff>
      <xdr:row>10</xdr:row>
      <xdr:rowOff>1</xdr:rowOff>
    </xdr:to>
    <xdr:grpSp>
      <xdr:nvGrpSpPr>
        <xdr:cNvPr id="3" name="Instrucciones"/>
        <xdr:cNvGrpSpPr/>
      </xdr:nvGrpSpPr>
      <xdr:grpSpPr>
        <a:xfrm>
          <a:off x="6278138" y="1057275"/>
          <a:ext cx="2286718" cy="1466851"/>
          <a:chOff x="6278138" y="1057275"/>
          <a:chExt cx="2286718" cy="1191201"/>
        </a:xfrm>
      </xdr:grpSpPr>
      <xdr:grpSp>
        <xdr:nvGrpSpPr>
          <xdr:cNvPr id="4" name="Paso 2"/>
          <xdr:cNvGrpSpPr/>
        </xdr:nvGrpSpPr>
        <xdr:grpSpPr>
          <a:xfrm>
            <a:off x="6278138" y="1667221"/>
            <a:ext cx="2285999" cy="581255"/>
            <a:chOff x="316743" y="876051"/>
            <a:chExt cx="1704993" cy="707952"/>
          </a:xfrm>
        </xdr:grpSpPr>
        <xdr:sp macro="" textlink="">
          <xdr:nvSpPr>
            <xdr:cNvPr id="9" name="Contenedor"/>
            <xdr:cNvSpPr/>
          </xdr:nvSpPr>
          <xdr:spPr>
            <a:xfrm>
              <a:off x="316743" y="876051"/>
              <a:ext cx="1704993" cy="689109"/>
            </a:xfrm>
            <a:prstGeom prst="rect">
              <a:avLst/>
            </a:prstGeom>
            <a:ln>
              <a:solidFill>
                <a:srgbClr val="0B744D"/>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10" name="Paso"/>
            <xdr:cNvSpPr txBox="1"/>
          </xdr:nvSpPr>
          <xdr:spPr>
            <a:xfrm>
              <a:off x="479272" y="903192"/>
              <a:ext cx="1484766" cy="680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rgbClr val="0B744D"/>
                  </a:solidFill>
                  <a:latin typeface="Segoe UI"/>
                  <a:ea typeface="Segoe UI"/>
                  <a:cs typeface="Segoe UI"/>
                </a:rPr>
                <a:t>Repita la acción en la </a:t>
              </a:r>
              <a:r>
                <a:rPr lang="en-US" sz="1050" b="1">
                  <a:solidFill>
                    <a:srgbClr val="0B744D"/>
                  </a:solidFill>
                  <a:latin typeface="Segoe UI"/>
                  <a:ea typeface="Segoe UI"/>
                  <a:cs typeface="Segoe UI"/>
                </a:rPr>
                <a:t>celda C6</a:t>
              </a:r>
              <a:r>
                <a:rPr lang="en-US" sz="1050">
                  <a:solidFill>
                    <a:srgbClr val="0B744D"/>
                  </a:solidFill>
                  <a:latin typeface="Segoe UI"/>
                  <a:ea typeface="Segoe UI"/>
                  <a:cs typeface="Segoe UI"/>
                </a:rPr>
                <a:t> (Andrew) y observe. Ya ha acabado.</a:t>
              </a:r>
            </a:p>
          </xdr:txBody>
        </xdr:sp>
        <xdr:sp macro="" textlink="">
          <xdr:nvSpPr>
            <xdr:cNvPr id="11" name="Número"/>
            <xdr:cNvSpPr txBox="1"/>
          </xdr:nvSpPr>
          <xdr:spPr>
            <a:xfrm>
              <a:off x="337189" y="933274"/>
              <a:ext cx="204599" cy="445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200">
                  <a:solidFill>
                    <a:srgbClr val="0B744D"/>
                  </a:solidFill>
                  <a:latin typeface="Segoe UI"/>
                  <a:ea typeface="Segoe UI"/>
                  <a:cs typeface="Segoe UI"/>
                </a:rPr>
                <a:t>2</a:t>
              </a:r>
            </a:p>
          </xdr:txBody>
        </xdr:sp>
      </xdr:grpSp>
      <xdr:grpSp>
        <xdr:nvGrpSpPr>
          <xdr:cNvPr id="5" name="Paso 1"/>
          <xdr:cNvGrpSpPr/>
        </xdr:nvGrpSpPr>
        <xdr:grpSpPr>
          <a:xfrm>
            <a:off x="6278856" y="1057275"/>
            <a:ext cx="2286000" cy="580130"/>
            <a:chOff x="316809" y="1333501"/>
            <a:chExt cx="1689206" cy="687303"/>
          </a:xfrm>
        </xdr:grpSpPr>
        <xdr:sp macro="" textlink="">
          <xdr:nvSpPr>
            <xdr:cNvPr id="6" name="Contenedor"/>
            <xdr:cNvSpPr/>
          </xdr:nvSpPr>
          <xdr:spPr>
            <a:xfrm>
              <a:off x="316809" y="1333501"/>
              <a:ext cx="1689206" cy="678139"/>
            </a:xfrm>
            <a:prstGeom prst="rect">
              <a:avLst/>
            </a:prstGeom>
            <a:ln>
              <a:solidFill>
                <a:srgbClr val="0B744D"/>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7" name="Paso"/>
            <xdr:cNvSpPr txBox="1"/>
          </xdr:nvSpPr>
          <xdr:spPr>
            <a:xfrm>
              <a:off x="470266" y="1389924"/>
              <a:ext cx="1534362" cy="630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defTabSz="914400">
                <a:lnSpc>
                  <a:spcPct val="100000"/>
                </a:lnSpc>
              </a:pPr>
              <a:r>
                <a:rPr lang="en-US" sz="1050" i="0">
                  <a:solidFill>
                    <a:srgbClr val="0B744D"/>
                  </a:solidFill>
                  <a:latin typeface="Segoe UI"/>
                  <a:ea typeface="Segoe UI"/>
                  <a:cs typeface="Segoe UI"/>
                </a:rPr>
                <a:t>Rellene la tabla de la izquierda. En la </a:t>
              </a:r>
              <a:r>
                <a:rPr lang="en-US" sz="1050" b="1" i="0">
                  <a:solidFill>
                    <a:srgbClr val="0B744D"/>
                  </a:solidFill>
                  <a:latin typeface="Segoe UI"/>
                  <a:ea typeface="Segoe UI"/>
                  <a:cs typeface="Segoe UI"/>
                </a:rPr>
                <a:t>celda C5</a:t>
              </a:r>
              <a:r>
                <a:rPr lang="en-US" sz="1050" i="0">
                  <a:solidFill>
                    <a:srgbClr val="0B744D"/>
                  </a:solidFill>
                  <a:latin typeface="Segoe UI"/>
                  <a:ea typeface="Segoe UI"/>
                  <a:cs typeface="Segoe UI"/>
                </a:rPr>
                <a:t>, escriba Nancy en la columna </a:t>
              </a:r>
              <a:r>
                <a:rPr lang="en-US" sz="1050" b="1" i="0">
                  <a:solidFill>
                    <a:srgbClr val="0B744D"/>
                  </a:solidFill>
                  <a:latin typeface="Segoe UI"/>
                  <a:ea typeface="Segoe UI"/>
                  <a:cs typeface="Segoe UI"/>
                </a:rPr>
                <a:t>Nombre</a:t>
              </a:r>
              <a:r>
                <a:rPr lang="en-US" sz="1050" i="0">
                  <a:solidFill>
                    <a:srgbClr val="0B744D"/>
                  </a:solidFill>
                  <a:latin typeface="Segoe UI"/>
                  <a:ea typeface="Segoe UI"/>
                  <a:cs typeface="Segoe UI"/>
                </a:rPr>
                <a:t>.</a:t>
              </a:r>
              <a:endParaRPr lang="en-US" sz="1050" i="0"/>
            </a:p>
          </xdr:txBody>
        </xdr:sp>
        <xdr:sp macro="" textlink="">
          <xdr:nvSpPr>
            <xdr:cNvPr id="8" name="Número"/>
            <xdr:cNvSpPr txBox="1"/>
          </xdr:nvSpPr>
          <xdr:spPr>
            <a:xfrm>
              <a:off x="337082" y="1387177"/>
              <a:ext cx="202705" cy="433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200">
                  <a:solidFill>
                    <a:srgbClr val="0B744D"/>
                  </a:solidFill>
                  <a:latin typeface="Segoe UI"/>
                  <a:ea typeface="Segoe UI"/>
                  <a:cs typeface="Segoe UI"/>
                </a:rPr>
                <a:t>1</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290514</xdr:colOff>
      <xdr:row>16</xdr:row>
      <xdr:rowOff>38100</xdr:rowOff>
    </xdr:from>
    <xdr:to>
      <xdr:col>10</xdr:col>
      <xdr:colOff>595314</xdr:colOff>
      <xdr:row>17</xdr:row>
      <xdr:rowOff>133350</xdr:rowOff>
    </xdr:to>
    <xdr:sp macro="" textlink="">
      <xdr:nvSpPr>
        <xdr:cNvPr id="2" name="Botón Siguiente">
          <a:hlinkClick xmlns:r="http://schemas.openxmlformats.org/officeDocument/2006/relationships" r:id="rId1" tooltip="Siguiente"/>
        </xdr:cNvPr>
        <xdr:cNvSpPr/>
      </xdr:nvSpPr>
      <xdr:spPr>
        <a:xfrm>
          <a:off x="5776914" y="3086100"/>
          <a:ext cx="914400" cy="285750"/>
        </a:xfrm>
        <a:prstGeom prst="rect">
          <a:avLst/>
        </a:prstGeom>
        <a:noFill/>
        <a:ln>
          <a:solidFill>
            <a:srgbClr val="0B744D"/>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a:solidFill>
                <a:srgbClr val="0B744D"/>
              </a:solidFill>
              <a:latin typeface="Segoe UI"/>
              <a:ea typeface="Segoe UI"/>
              <a:cs typeface="Segoe UI"/>
            </a:rPr>
            <a:t>Siguiente &gt;</a:t>
          </a:r>
        </a:p>
      </xdr:txBody>
    </xdr:sp>
    <xdr:clientData/>
  </xdr:twoCellAnchor>
  <xdr:twoCellAnchor>
    <xdr:from>
      <xdr:col>6</xdr:col>
      <xdr:colOff>498282</xdr:colOff>
      <xdr:row>10</xdr:row>
      <xdr:rowOff>137000</xdr:rowOff>
    </xdr:from>
    <xdr:to>
      <xdr:col>10</xdr:col>
      <xdr:colOff>608389</xdr:colOff>
      <xdr:row>16</xdr:row>
      <xdr:rowOff>28576</xdr:rowOff>
    </xdr:to>
    <xdr:grpSp>
      <xdr:nvGrpSpPr>
        <xdr:cNvPr id="3" name="Paso 3"/>
        <xdr:cNvGrpSpPr/>
      </xdr:nvGrpSpPr>
      <xdr:grpSpPr>
        <a:xfrm>
          <a:off x="7061007" y="2623025"/>
          <a:ext cx="2586607" cy="1148876"/>
          <a:chOff x="7061007" y="2613500"/>
          <a:chExt cx="2586607" cy="1148876"/>
        </a:xfrm>
      </xdr:grpSpPr>
      <xdr:sp macro="" textlink="">
        <xdr:nvSpPr>
          <xdr:cNvPr id="4" name="Contenedor"/>
          <xdr:cNvSpPr/>
        </xdr:nvSpPr>
        <xdr:spPr>
          <a:xfrm>
            <a:off x="7061007" y="2613500"/>
            <a:ext cx="2578609" cy="1101254"/>
          </a:xfrm>
          <a:prstGeom prst="rect">
            <a:avLst/>
          </a:prstGeom>
          <a:noFill/>
          <a:ln w="3175">
            <a:solidFill>
              <a:srgbClr val="0B744D"/>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sp macro="" textlink="">
        <xdr:nvSpPr>
          <xdr:cNvPr id="5" name="Texto"/>
          <xdr:cNvSpPr txBox="1"/>
        </xdr:nvSpPr>
        <xdr:spPr>
          <a:xfrm>
            <a:off x="7324725" y="2692394"/>
            <a:ext cx="2322889" cy="106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defTabSz="914400">
              <a:lnSpc>
                <a:spcPct val="100000"/>
              </a:lnSpc>
            </a:pPr>
            <a:r>
              <a:rPr lang="en-US" sz="1050">
                <a:solidFill>
                  <a:srgbClr val="0B744D"/>
                </a:solidFill>
                <a:latin typeface="Segoe UI"/>
                <a:ea typeface="Segoe UI"/>
                <a:cs typeface="Segoe UI"/>
              </a:rPr>
              <a:t>Selecciónelo y examine cualquiera de las opciones.</a:t>
            </a:r>
          </a:p>
          <a:p>
            <a:pPr defTabSz="914400">
              <a:lnSpc>
                <a:spcPct val="100000"/>
              </a:lnSpc>
            </a:pPr>
            <a:endParaRPr lang="en-US" sz="1050"/>
          </a:p>
          <a:p>
            <a:pPr defTabSz="914400">
              <a:lnSpc>
                <a:spcPct val="100000"/>
              </a:lnSpc>
            </a:pPr>
            <a:r>
              <a:rPr lang="en-US" sz="1050" b="1">
                <a:solidFill>
                  <a:srgbClr val="0B744D"/>
                </a:solidFill>
                <a:latin typeface="Segoe UI"/>
                <a:ea typeface="Segoe UI"/>
                <a:cs typeface="Segoe UI"/>
              </a:rPr>
              <a:t>Gráficos, totales, tablas</a:t>
            </a:r>
            <a:r>
              <a:rPr lang="en-US" sz="1050">
                <a:solidFill>
                  <a:srgbClr val="0B744D"/>
                </a:solidFill>
                <a:latin typeface="Segoe UI"/>
                <a:ea typeface="Segoe UI"/>
                <a:cs typeface="Segoe UI"/>
              </a:rPr>
              <a:t> etc. con un solo clic.</a:t>
            </a:r>
          </a:p>
        </xdr:txBody>
      </xdr:sp>
      <xdr:sp macro="" textlink="">
        <xdr:nvSpPr>
          <xdr:cNvPr id="6" name="Número"/>
          <xdr:cNvSpPr txBox="1"/>
        </xdr:nvSpPr>
        <xdr:spPr>
          <a:xfrm>
            <a:off x="7067550" y="2667002"/>
            <a:ext cx="274320" cy="365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solidFill>
                  <a:srgbClr val="0B744D"/>
                </a:solidFill>
                <a:latin typeface="Segoe UI"/>
                <a:ea typeface="Segoe UI"/>
                <a:cs typeface="Segoe UI"/>
              </a:rPr>
              <a:t>3</a:t>
            </a:r>
          </a:p>
        </xdr:txBody>
      </xdr:sp>
    </xdr:grpSp>
    <xdr:clientData/>
  </xdr:twoCellAnchor>
  <xdr:twoCellAnchor>
    <xdr:from>
      <xdr:col>6</xdr:col>
      <xdr:colOff>499304</xdr:colOff>
      <xdr:row>5</xdr:row>
      <xdr:rowOff>97536</xdr:rowOff>
    </xdr:from>
    <xdr:to>
      <xdr:col>10</xdr:col>
      <xdr:colOff>601410</xdr:colOff>
      <xdr:row>10</xdr:row>
      <xdr:rowOff>66677</xdr:rowOff>
    </xdr:to>
    <xdr:grpSp>
      <xdr:nvGrpSpPr>
        <xdr:cNvPr id="7" name="Paso 2"/>
        <xdr:cNvGrpSpPr/>
      </xdr:nvGrpSpPr>
      <xdr:grpSpPr>
        <a:xfrm>
          <a:off x="7062029" y="1535811"/>
          <a:ext cx="2578606" cy="1016891"/>
          <a:chOff x="7062029" y="1526286"/>
          <a:chExt cx="2578606" cy="1016891"/>
        </a:xfrm>
      </xdr:grpSpPr>
      <xdr:pic>
        <xdr:nvPicPr>
          <xdr:cNvPr id="8" name="Icono de Análisis rápid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48550" y="2190750"/>
            <a:ext cx="228600" cy="2286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Contenedor"/>
          <xdr:cNvSpPr/>
        </xdr:nvSpPr>
        <xdr:spPr>
          <a:xfrm>
            <a:off x="7062029" y="1526286"/>
            <a:ext cx="2578606" cy="1016891"/>
          </a:xfrm>
          <a:prstGeom prst="rect">
            <a:avLst/>
          </a:prstGeom>
          <a:noFill/>
          <a:ln w="3175">
            <a:solidFill>
              <a:srgbClr val="0B744D"/>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sp macro="" textlink="">
        <xdr:nvSpPr>
          <xdr:cNvPr id="10" name="Texto"/>
          <xdr:cNvSpPr txBox="1"/>
        </xdr:nvSpPr>
        <xdr:spPr>
          <a:xfrm>
            <a:off x="7343774" y="1568035"/>
            <a:ext cx="2241551" cy="927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rgbClr val="0B744D"/>
                </a:solidFill>
                <a:latin typeface="Segoe UI"/>
                <a:ea typeface="Segoe UI"/>
                <a:cs typeface="Segoe UI"/>
              </a:rPr>
              <a:t>Observe la parte inferior derecha de la selección. Ese es el botón Análisis rápido:</a:t>
            </a:r>
            <a:endParaRPr lang="en-US" sz="1050"/>
          </a:p>
        </xdr:txBody>
      </xdr:sp>
      <xdr:sp macro="" textlink="">
        <xdr:nvSpPr>
          <xdr:cNvPr id="11" name="Número"/>
          <xdr:cNvSpPr txBox="1"/>
        </xdr:nvSpPr>
        <xdr:spPr>
          <a:xfrm>
            <a:off x="7069988" y="1534972"/>
            <a:ext cx="27432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solidFill>
                  <a:srgbClr val="0B744D"/>
                </a:solidFill>
                <a:latin typeface="Segoe UI"/>
                <a:ea typeface="Segoe UI"/>
                <a:cs typeface="Segoe UI"/>
              </a:rPr>
              <a:t>2</a:t>
            </a:r>
          </a:p>
        </xdr:txBody>
      </xdr:sp>
    </xdr:grpSp>
    <xdr:clientData/>
  </xdr:twoCellAnchor>
  <xdr:twoCellAnchor>
    <xdr:from>
      <xdr:col>6</xdr:col>
      <xdr:colOff>499027</xdr:colOff>
      <xdr:row>2</xdr:row>
      <xdr:rowOff>168553</xdr:rowOff>
    </xdr:from>
    <xdr:to>
      <xdr:col>10</xdr:col>
      <xdr:colOff>601129</xdr:colOff>
      <xdr:row>5</xdr:row>
      <xdr:rowOff>47625</xdr:rowOff>
    </xdr:to>
    <xdr:grpSp>
      <xdr:nvGrpSpPr>
        <xdr:cNvPr id="12" name="Paso 1"/>
        <xdr:cNvGrpSpPr/>
      </xdr:nvGrpSpPr>
      <xdr:grpSpPr>
        <a:xfrm>
          <a:off x="7061752" y="997228"/>
          <a:ext cx="2578602" cy="488672"/>
          <a:chOff x="331650" y="1310656"/>
          <a:chExt cx="1872343" cy="898518"/>
        </a:xfrm>
        <a:solidFill>
          <a:schemeClr val="accent1"/>
        </a:solidFill>
      </xdr:grpSpPr>
      <xdr:sp macro="" textlink="">
        <xdr:nvSpPr>
          <xdr:cNvPr id="13" name="Contenedor"/>
          <xdr:cNvSpPr/>
        </xdr:nvSpPr>
        <xdr:spPr>
          <a:xfrm>
            <a:off x="331650" y="1333500"/>
            <a:ext cx="1872343" cy="840647"/>
          </a:xfrm>
          <a:prstGeom prst="rect">
            <a:avLst/>
          </a:prstGeom>
          <a:noFill/>
          <a:ln w="3175">
            <a:solidFill>
              <a:srgbClr val="0B744D"/>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sp macro="" textlink="">
        <xdr:nvSpPr>
          <xdr:cNvPr id="14" name="Texto"/>
          <xdr:cNvSpPr txBox="1"/>
        </xdr:nvSpPr>
        <xdr:spPr>
          <a:xfrm>
            <a:off x="543346" y="1310656"/>
            <a:ext cx="1327907" cy="898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defTabSz="914400">
              <a:lnSpc>
                <a:spcPct val="100000"/>
              </a:lnSpc>
            </a:pPr>
            <a:r>
              <a:rPr lang="en-US" sz="1050" i="0">
                <a:solidFill>
                  <a:srgbClr val="0B744D"/>
                </a:solidFill>
                <a:latin typeface="Segoe UI"/>
                <a:ea typeface="Segoe UI"/>
                <a:cs typeface="Segoe UI"/>
              </a:rPr>
              <a:t>Seleccione toda la tabla de la izquierda. </a:t>
            </a:r>
            <a:endParaRPr lang="en-US" sz="1050" i="0"/>
          </a:p>
        </xdr:txBody>
      </xdr:sp>
      <xdr:sp macro="" textlink="">
        <xdr:nvSpPr>
          <xdr:cNvPr id="15" name="Número"/>
          <xdr:cNvSpPr txBox="1"/>
        </xdr:nvSpPr>
        <xdr:spPr>
          <a:xfrm>
            <a:off x="335860" y="1322236"/>
            <a:ext cx="199185" cy="676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solidFill>
                  <a:srgbClr val="0B744D"/>
                </a:solidFill>
                <a:latin typeface="Segoe UI"/>
                <a:ea typeface="Segoe UI"/>
                <a:cs typeface="Segoe UI"/>
              </a:rPr>
              <a:t>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285750</xdr:colOff>
      <xdr:row>17</xdr:row>
      <xdr:rowOff>116305</xdr:rowOff>
    </xdr:from>
    <xdr:to>
      <xdr:col>9</xdr:col>
      <xdr:colOff>572503</xdr:colOff>
      <xdr:row>18</xdr:row>
      <xdr:rowOff>192505</xdr:rowOff>
    </xdr:to>
    <xdr:sp macro="" textlink="">
      <xdr:nvSpPr>
        <xdr:cNvPr id="2" name="Botón Siguiente">
          <a:hlinkClick xmlns:r="http://schemas.openxmlformats.org/officeDocument/2006/relationships" r:id="rId1" tooltip="Siguiente"/>
        </xdr:cNvPr>
        <xdr:cNvSpPr/>
      </xdr:nvSpPr>
      <xdr:spPr>
        <a:xfrm>
          <a:off x="5162550" y="3354805"/>
          <a:ext cx="896353" cy="266700"/>
        </a:xfrm>
        <a:prstGeom prst="rect">
          <a:avLst/>
        </a:prstGeom>
        <a:noFill/>
        <a:ln>
          <a:solidFill>
            <a:srgbClr val="0B744D"/>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a:solidFill>
                <a:srgbClr val="0B744D"/>
              </a:solidFill>
              <a:latin typeface="Segoe UI"/>
              <a:ea typeface="Segoe UI"/>
              <a:cs typeface="Segoe UI"/>
            </a:rPr>
            <a:t>Siguiente &gt;</a:t>
          </a:r>
        </a:p>
      </xdr:txBody>
    </xdr:sp>
    <xdr:clientData/>
  </xdr:twoCellAnchor>
  <xdr:twoCellAnchor>
    <xdr:from>
      <xdr:col>5</xdr:col>
      <xdr:colOff>444498</xdr:colOff>
      <xdr:row>2</xdr:row>
      <xdr:rowOff>176066</xdr:rowOff>
    </xdr:from>
    <xdr:to>
      <xdr:col>9</xdr:col>
      <xdr:colOff>586968</xdr:colOff>
      <xdr:row>17</xdr:row>
      <xdr:rowOff>57150</xdr:rowOff>
    </xdr:to>
    <xdr:grpSp>
      <xdr:nvGrpSpPr>
        <xdr:cNvPr id="3" name="Instrucciones"/>
        <xdr:cNvGrpSpPr/>
      </xdr:nvGrpSpPr>
      <xdr:grpSpPr>
        <a:xfrm>
          <a:off x="6550023" y="1004741"/>
          <a:ext cx="2580870" cy="3005284"/>
          <a:chOff x="6550023" y="995216"/>
          <a:chExt cx="2580870" cy="3005284"/>
        </a:xfrm>
      </xdr:grpSpPr>
      <xdr:grpSp>
        <xdr:nvGrpSpPr>
          <xdr:cNvPr id="4" name="Paso 3"/>
          <xdr:cNvGrpSpPr/>
        </xdr:nvGrpSpPr>
        <xdr:grpSpPr>
          <a:xfrm>
            <a:off x="6550023" y="2265786"/>
            <a:ext cx="2565400" cy="1734714"/>
            <a:chOff x="6550023" y="2265786"/>
            <a:chExt cx="2565400" cy="1734714"/>
          </a:xfrm>
        </xdr:grpSpPr>
        <xdr:sp macro="" textlink="">
          <xdr:nvSpPr>
            <xdr:cNvPr id="13" name="Contenedor"/>
            <xdr:cNvSpPr/>
          </xdr:nvSpPr>
          <xdr:spPr>
            <a:xfrm>
              <a:off x="6550023" y="2265786"/>
              <a:ext cx="2565400" cy="1734714"/>
            </a:xfrm>
            <a:prstGeom prst="rect">
              <a:avLst/>
            </a:prstGeom>
            <a:solidFill>
              <a:sysClr val="window" lastClr="FFFFFF"/>
            </a:solidFill>
            <a:ln>
              <a:solidFill>
                <a:srgbClr val="0B744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4" name="Botones de Formato de gráfic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48475" y="2819400"/>
              <a:ext cx="638175" cy="1162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 name="Texto"/>
            <xdr:cNvSpPr txBox="1"/>
          </xdr:nvSpPr>
          <xdr:spPr>
            <a:xfrm>
              <a:off x="6816346" y="2304309"/>
              <a:ext cx="2290115" cy="657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defTabSz="914400">
                <a:lnSpc>
                  <a:spcPct val="100000"/>
                </a:lnSpc>
              </a:pPr>
              <a:r>
                <a:rPr lang="en-US" sz="1050">
                  <a:solidFill>
                    <a:srgbClr val="0B744D"/>
                  </a:solidFill>
                  <a:latin typeface="Segoe UI"/>
                  <a:ea typeface="Segoe UI"/>
                  <a:cs typeface="Segoe UI"/>
                </a:rPr>
                <a:t>Use los botones situados en la parte superior derecha del gráfico para obtener el aspecto adecuado...  </a:t>
              </a:r>
              <a:endParaRPr lang="en-US" sz="1050"/>
            </a:p>
          </xdr:txBody>
        </xdr:sp>
        <xdr:sp macro="" textlink="">
          <xdr:nvSpPr>
            <xdr:cNvPr id="16" name="Número"/>
            <xdr:cNvSpPr txBox="1"/>
          </xdr:nvSpPr>
          <xdr:spPr>
            <a:xfrm>
              <a:off x="6554640" y="2297105"/>
              <a:ext cx="311622" cy="364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2000">
                  <a:solidFill>
                    <a:srgbClr val="0B744D"/>
                  </a:solidFill>
                  <a:latin typeface="Segoe UI"/>
                  <a:ea typeface="Segoe UI"/>
                  <a:cs typeface="Segoe UI"/>
                </a:rPr>
                <a:t>3</a:t>
              </a:r>
            </a:p>
          </xdr:txBody>
        </xdr:sp>
      </xdr:grpSp>
      <xdr:grpSp>
        <xdr:nvGrpSpPr>
          <xdr:cNvPr id="5" name="Paso 2"/>
          <xdr:cNvGrpSpPr/>
        </xdr:nvGrpSpPr>
        <xdr:grpSpPr>
          <a:xfrm>
            <a:off x="6550023" y="1453255"/>
            <a:ext cx="2565399" cy="756546"/>
            <a:chOff x="6550023" y="1453255"/>
            <a:chExt cx="2565399" cy="756546"/>
          </a:xfrm>
        </xdr:grpSpPr>
        <xdr:sp macro="" textlink="">
          <xdr:nvSpPr>
            <xdr:cNvPr id="10" name="Contenedor"/>
            <xdr:cNvSpPr/>
          </xdr:nvSpPr>
          <xdr:spPr>
            <a:xfrm>
              <a:off x="6550023" y="1453255"/>
              <a:ext cx="2565399" cy="756546"/>
            </a:xfrm>
            <a:prstGeom prst="rect">
              <a:avLst/>
            </a:prstGeom>
            <a:solidFill>
              <a:sysClr val="window" lastClr="FFFFFF"/>
            </a:solidFill>
            <a:ln>
              <a:solidFill>
                <a:srgbClr val="0B744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Texto"/>
            <xdr:cNvSpPr txBox="1"/>
          </xdr:nvSpPr>
          <xdr:spPr>
            <a:xfrm>
              <a:off x="6836651" y="1495017"/>
              <a:ext cx="2269807" cy="648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defTabSz="914400">
                <a:lnSpc>
                  <a:spcPct val="100000"/>
                </a:lnSpc>
              </a:pPr>
              <a:r>
                <a:rPr lang="en-US" sz="1050">
                  <a:solidFill>
                    <a:srgbClr val="0B744D"/>
                  </a:solidFill>
                  <a:latin typeface="Segoe UI"/>
                  <a:ea typeface="Segoe UI"/>
                  <a:cs typeface="Segoe UI"/>
                </a:rPr>
                <a:t>Haga clic en </a:t>
              </a:r>
              <a:r>
                <a:rPr lang="en-US" sz="1050" b="1">
                  <a:solidFill>
                    <a:srgbClr val="0B744D"/>
                  </a:solidFill>
                  <a:latin typeface="Segoe UI"/>
                  <a:ea typeface="Segoe UI"/>
                  <a:cs typeface="Segoe UI"/>
                </a:rPr>
                <a:t>Insertar &gt;Gráficos recomendados </a:t>
              </a:r>
              <a:r>
                <a:rPr lang="en-US" sz="1050">
                  <a:solidFill>
                    <a:srgbClr val="0B744D"/>
                  </a:solidFill>
                  <a:latin typeface="Segoe UI"/>
                  <a:ea typeface="Segoe UI"/>
                  <a:cs typeface="Segoe UI"/>
                </a:rPr>
                <a:t>y seleccione el gráficos deseado...</a:t>
              </a:r>
              <a:endParaRPr lang="en-US" sz="1050"/>
            </a:p>
          </xdr:txBody>
        </xdr:sp>
        <xdr:sp macro="" textlink="">
          <xdr:nvSpPr>
            <xdr:cNvPr id="12" name="Número"/>
            <xdr:cNvSpPr txBox="1"/>
          </xdr:nvSpPr>
          <xdr:spPr>
            <a:xfrm>
              <a:off x="6556228" y="1498326"/>
              <a:ext cx="311623" cy="331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solidFill>
                    <a:srgbClr val="0B744D"/>
                  </a:solidFill>
                  <a:latin typeface="Segoe UI"/>
                  <a:ea typeface="Segoe UI"/>
                  <a:cs typeface="Segoe UI"/>
                </a:rPr>
                <a:t>2</a:t>
              </a:r>
            </a:p>
          </xdr:txBody>
        </xdr:sp>
      </xdr:grpSp>
      <xdr:grpSp>
        <xdr:nvGrpSpPr>
          <xdr:cNvPr id="6" name="Paso 1"/>
          <xdr:cNvGrpSpPr/>
        </xdr:nvGrpSpPr>
        <xdr:grpSpPr>
          <a:xfrm>
            <a:off x="6550023" y="995216"/>
            <a:ext cx="2580870" cy="413930"/>
            <a:chOff x="321030" y="1343026"/>
            <a:chExt cx="1725253" cy="844257"/>
          </a:xfrm>
          <a:solidFill>
            <a:schemeClr val="accent1"/>
          </a:solidFill>
        </xdr:grpSpPr>
        <xdr:sp macro="" textlink="">
          <xdr:nvSpPr>
            <xdr:cNvPr id="7" name="Contenedor"/>
            <xdr:cNvSpPr/>
          </xdr:nvSpPr>
          <xdr:spPr>
            <a:xfrm>
              <a:off x="321030" y="1349884"/>
              <a:ext cx="1714911" cy="837399"/>
            </a:xfrm>
            <a:prstGeom prst="rect">
              <a:avLst/>
            </a:prstGeom>
            <a:solidFill>
              <a:sysClr val="window" lastClr="FFFFFF"/>
            </a:solidFill>
            <a:ln>
              <a:solidFill>
                <a:srgbClr val="0B744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Texto"/>
            <xdr:cNvSpPr txBox="1"/>
          </xdr:nvSpPr>
          <xdr:spPr>
            <a:xfrm>
              <a:off x="506111" y="1478322"/>
              <a:ext cx="1540172" cy="70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defTabSz="914400">
                <a:lnSpc>
                  <a:spcPct val="100000"/>
                </a:lnSpc>
              </a:pPr>
              <a:r>
                <a:rPr lang="en-US" sz="1050">
                  <a:solidFill>
                    <a:srgbClr val="0B744D"/>
                  </a:solidFill>
                  <a:latin typeface="Segoe UI"/>
                  <a:ea typeface="Segoe UI"/>
                  <a:cs typeface="Segoe UI"/>
                </a:rPr>
                <a:t>Seleccione la tabla de la izquierda.  </a:t>
              </a:r>
              <a:endParaRPr lang="en-US" sz="1050"/>
            </a:p>
          </xdr:txBody>
        </xdr:sp>
        <xdr:sp macro="" textlink="">
          <xdr:nvSpPr>
            <xdr:cNvPr id="9" name="Número"/>
            <xdr:cNvSpPr txBox="1"/>
          </xdr:nvSpPr>
          <xdr:spPr>
            <a:xfrm>
              <a:off x="327707" y="1343026"/>
              <a:ext cx="208313" cy="74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2000">
                  <a:solidFill>
                    <a:srgbClr val="0B744D"/>
                  </a:solidFill>
                  <a:latin typeface="Segoe UI"/>
                  <a:ea typeface="Segoe UI"/>
                  <a:cs typeface="Segoe UI"/>
                </a:rPr>
                <a:t>1</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UARIO\ANSELMO\Recaudacion%20Federal\PC%20PACO\Anselmo%20OK\Presupuesto%202018\CALCULO%20DEL%20COEFICIENTE%202018%20%20LY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UARIO\ANSELMO\Recaudacion%20Federal\PC%20PACO\Anselmo%20OK\Presupuesto%202018\CALCULO%20DEL%20COEFICIENTE%202018%20ANSELMO_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NGCOORD\Desktop\Libia\CALCU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IEPS GyD coeficiente"/>
      <sheetName val="FOFIR 2018 coeficiente"/>
      <sheetName val="IEPS TyA (sin incremento"/>
      <sheetName val="FFM"/>
      <sheetName val="FFM coeficiente"/>
      <sheetName val="FGPcoeficientes desg"/>
      <sheetName val="FGPcoeficientes lia"/>
      <sheetName val="focoisan"/>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I13">
            <v>976528016.10000002</v>
          </cell>
        </row>
        <row r="18">
          <cell r="K18">
            <v>279523846.57499999</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TOTAL"/>
      <sheetName val="FGP"/>
      <sheetName val="FFM"/>
      <sheetName val="IEPS TyA (sin incremento)"/>
      <sheetName val="IEPS GyD coeficiente"/>
      <sheetName val="FOFIR 2018"/>
      <sheetName val="FOCO2018"/>
      <sheetName val="ISAN_2018"/>
      <sheetName val="FOCOISAN1.1"/>
      <sheetName val="incentivo isan"/>
      <sheetName val="Predial y Agua"/>
      <sheetName val="CENSO"/>
    </sheetNames>
    <sheetDataSet>
      <sheetData sheetId="0"/>
      <sheetData sheetId="1"/>
      <sheetData sheetId="2"/>
      <sheetData sheetId="3"/>
      <sheetData sheetId="4"/>
      <sheetData sheetId="5"/>
      <sheetData sheetId="6">
        <row r="9">
          <cell r="I9">
            <v>0.30783639567683346</v>
          </cell>
          <cell r="K9">
            <v>1675108.310470873</v>
          </cell>
        </row>
        <row r="10">
          <cell r="I10">
            <v>5.702375241365195E-2</v>
          </cell>
          <cell r="K10">
            <v>669048.88651236368</v>
          </cell>
        </row>
        <row r="11">
          <cell r="I11">
            <v>3.8598362575395471E-2</v>
          </cell>
          <cell r="K11">
            <v>488768.08135310013</v>
          </cell>
        </row>
        <row r="12">
          <cell r="I12">
            <v>27.722322924249848</v>
          </cell>
          <cell r="K12">
            <v>9849988.7478727028</v>
          </cell>
        </row>
        <row r="13">
          <cell r="I13">
            <v>1.5035642247285637</v>
          </cell>
          <cell r="K13">
            <v>3245840.5210356032</v>
          </cell>
        </row>
        <row r="14">
          <cell r="I14">
            <v>1.0523873762912932E-2</v>
          </cell>
          <cell r="K14">
            <v>1421624.0497227884</v>
          </cell>
        </row>
        <row r="15">
          <cell r="I15">
            <v>6.7848730118557992E-4</v>
          </cell>
          <cell r="K15">
            <v>489428.64816450176</v>
          </cell>
        </row>
        <row r="16">
          <cell r="I16">
            <v>0.36431260456941483</v>
          </cell>
          <cell r="K16">
            <v>1272906.9805888569</v>
          </cell>
        </row>
        <row r="17">
          <cell r="I17">
            <v>6.725891333886172E-2</v>
          </cell>
          <cell r="K17">
            <v>759409.18844571547</v>
          </cell>
        </row>
        <row r="18">
          <cell r="I18">
            <v>7.6294452504163963E-3</v>
          </cell>
          <cell r="K18">
            <v>561450.81430549722</v>
          </cell>
        </row>
        <row r="19">
          <cell r="I19">
            <v>5.3083240857857296E-2</v>
          </cell>
          <cell r="K19">
            <v>1505712.3849808299</v>
          </cell>
        </row>
        <row r="20">
          <cell r="I20">
            <v>4.0325407673202952E-2</v>
          </cell>
          <cell r="K20">
            <v>982830.19287120842</v>
          </cell>
        </row>
        <row r="21">
          <cell r="I21">
            <v>0.15141312047216696</v>
          </cell>
          <cell r="K21">
            <v>1773705.3004013707</v>
          </cell>
        </row>
        <row r="22">
          <cell r="I22">
            <v>7.8692042502761898E-3</v>
          </cell>
          <cell r="K22">
            <v>332288.84870842518</v>
          </cell>
        </row>
        <row r="23">
          <cell r="I23">
            <v>8.7174688638086903E-2</v>
          </cell>
          <cell r="K23">
            <v>1023761.6247928584</v>
          </cell>
        </row>
        <row r="24">
          <cell r="I24">
            <v>1.2821199734181128</v>
          </cell>
          <cell r="K24">
            <v>4190004.3404057259</v>
          </cell>
        </row>
        <row r="25">
          <cell r="I25">
            <v>0.39474760767184625</v>
          </cell>
          <cell r="K25">
            <v>1812814.8174631856</v>
          </cell>
        </row>
        <row r="26">
          <cell r="I26">
            <v>66.428609906759945</v>
          </cell>
          <cell r="K26">
            <v>29899612.298806161</v>
          </cell>
        </row>
        <row r="27">
          <cell r="I27">
            <v>4.3831891390971649E-2</v>
          </cell>
          <cell r="K27">
            <v>1331812.5715587302</v>
          </cell>
        </row>
        <row r="28">
          <cell r="I28">
            <v>1.4310759750004596</v>
          </cell>
          <cell r="K28">
            <v>2300172.6665395065</v>
          </cell>
        </row>
      </sheetData>
      <sheetData sheetId="7">
        <row r="10">
          <cell r="J10">
            <v>3.2030262563385246</v>
          </cell>
          <cell r="L10">
            <v>3400039.6341328258</v>
          </cell>
        </row>
        <row r="11">
          <cell r="J11">
            <v>3.2649069896522058</v>
          </cell>
          <cell r="L11">
            <v>1755351.9856819082</v>
          </cell>
        </row>
        <row r="12">
          <cell r="J12">
            <v>3.8245953237238961</v>
          </cell>
          <cell r="L12">
            <v>1608921.2135228908</v>
          </cell>
        </row>
        <row r="13">
          <cell r="J13">
            <v>9.151475237852404</v>
          </cell>
          <cell r="L13">
            <v>7251060.4084688853</v>
          </cell>
        </row>
        <row r="14">
          <cell r="J14">
            <v>4.9659685330461043</v>
          </cell>
          <cell r="L14">
            <v>5493774.9750104668</v>
          </cell>
        </row>
        <row r="15">
          <cell r="J15">
            <v>3.3901029501068018</v>
          </cell>
          <cell r="L15">
            <v>6025343.9070602786</v>
          </cell>
        </row>
        <row r="16">
          <cell r="J16">
            <v>3.6809613879358531</v>
          </cell>
          <cell r="L16">
            <v>2102206.9199694535</v>
          </cell>
        </row>
        <row r="17">
          <cell r="J17">
            <v>3.0013229156570631</v>
          </cell>
          <cell r="L17">
            <v>2502818.9906158159</v>
          </cell>
        </row>
        <row r="18">
          <cell r="J18">
            <v>3.0926730012986177</v>
          </cell>
          <cell r="L18">
            <v>2236508.2874780362</v>
          </cell>
        </row>
        <row r="19">
          <cell r="J19">
            <v>3.4332203851565897</v>
          </cell>
          <cell r="L19">
            <v>2298155.5004138891</v>
          </cell>
        </row>
        <row r="20">
          <cell r="J20">
            <v>3.1007349680773708</v>
          </cell>
          <cell r="L20">
            <v>4324899.8382072411</v>
          </cell>
        </row>
        <row r="21">
          <cell r="J21">
            <v>2.9619183256372441</v>
          </cell>
          <cell r="L21">
            <v>2428258.5183188329</v>
          </cell>
        </row>
        <row r="22">
          <cell r="J22">
            <v>3.4479406570776314</v>
          </cell>
          <cell r="L22">
            <v>3120157.8928237758</v>
          </cell>
        </row>
        <row r="23">
          <cell r="J23">
            <v>5.3786025853646846</v>
          </cell>
          <cell r="L23">
            <v>1476125.9088761967</v>
          </cell>
        </row>
        <row r="24">
          <cell r="J24">
            <v>2.967524001068194</v>
          </cell>
          <cell r="L24">
            <v>2193873.9279586049</v>
          </cell>
        </row>
        <row r="25">
          <cell r="J25">
            <v>6.1759796951230719</v>
          </cell>
          <cell r="L25">
            <v>7499739.2911581211</v>
          </cell>
        </row>
        <row r="26">
          <cell r="J26">
            <v>3.2856538811834932</v>
          </cell>
          <cell r="L26">
            <v>3974778.5699510449</v>
          </cell>
        </row>
        <row r="27">
          <cell r="J27">
            <v>24.603713685701898</v>
          </cell>
          <cell r="L27">
            <v>25930259.17130297</v>
          </cell>
        </row>
        <row r="28">
          <cell r="J28">
            <v>3.0221379396734749</v>
          </cell>
          <cell r="L28">
            <v>2551660.105080334</v>
          </cell>
        </row>
        <row r="29">
          <cell r="J29">
            <v>4.0475412803248725</v>
          </cell>
          <cell r="L29">
            <v>3594812.0039684218</v>
          </cell>
        </row>
      </sheetData>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coeficientes modificado"/>
      <sheetName val="IEPS GyD coeficiente"/>
      <sheetName val="FOFIR 2018 coeficiente"/>
      <sheetName val="IEPS TyA (sin incremento"/>
      <sheetName val="FFM"/>
      <sheetName val="FFM coeficiente"/>
      <sheetName val="FGPcoeficientes desg"/>
      <sheetName val="FGPcoeficientes lia"/>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 val="focoisan"/>
    </sheetNames>
    <sheetDataSet>
      <sheetData sheetId="0"/>
      <sheetData sheetId="1"/>
      <sheetData sheetId="2"/>
      <sheetData sheetId="3"/>
      <sheetData sheetId="4">
        <row r="31">
          <cell r="H31">
            <v>17425292.149999999</v>
          </cell>
          <cell r="K31">
            <v>17425292.149999999</v>
          </cell>
          <cell r="N31">
            <v>100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4">
          <cell r="K24">
            <v>49786549</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ables/table1.xml><?xml version="1.0" encoding="utf-8"?>
<table xmlns="http://schemas.openxmlformats.org/spreadsheetml/2006/main" id="1" name="Tabla2" displayName="Tabla2" ref="B4:C20" totalsRowShown="0" headerRowDxfId="14" dataDxfId="13">
  <autoFilter ref="B4:C20"/>
  <tableColumns count="2">
    <tableColumn id="1" name="Correo electrónico" dataDxfId="12"/>
    <tableColumn id="3" name="Nombre" dataDxfId="11"/>
  </tableColumns>
  <tableStyleInfo name="CustomTableStyle" showFirstColumn="0" showLastColumn="0" showRowStripes="1" showColumnStripes="0"/>
</table>
</file>

<file path=xl/tables/table2.xml><?xml version="1.0" encoding="utf-8"?>
<table xmlns="http://schemas.openxmlformats.org/spreadsheetml/2006/main" id="2" name="Tabla5" displayName="Tabla5" ref="B4:E19" totalsRowShown="0" headerRowDxfId="10" dataDxfId="9">
  <autoFilter ref="B4:E19"/>
  <tableColumns count="4">
    <tableColumn id="2" name="Compañía" dataDxfId="8"/>
    <tableColumn id="3" name="Sector" dataDxfId="7"/>
    <tableColumn id="1" name="Ventas 1T" dataDxfId="6"/>
    <tableColumn id="4" name="Ventas 2T" dataDxfId="5"/>
  </tableColumns>
  <tableStyleInfo name="CustomTableStyle" showFirstColumn="0" showLastColumn="0" showRowStripes="1" showColumnStripes="0"/>
</table>
</file>

<file path=xl/tables/table3.xml><?xml version="1.0" encoding="utf-8"?>
<table xmlns="http://schemas.openxmlformats.org/spreadsheetml/2006/main" id="3" name="Tabla52" displayName="Tabla52" ref="B4:D19" totalsRowShown="0" headerRowDxfId="4" dataDxfId="3">
  <autoFilter ref="B4:D19"/>
  <tableColumns count="3">
    <tableColumn id="2" name="Compañía" dataDxfId="2"/>
    <tableColumn id="1" name="Ventas 1T" dataDxfId="1"/>
    <tableColumn id="3" name="Ventas 2T" dataDxfId="0"/>
  </tableColumns>
  <tableStyleInfo name="CustomTableStyle"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0.bin"/><Relationship Id="rId1" Type="http://schemas.openxmlformats.org/officeDocument/2006/relationships/hyperlink" Target="http://o15.officeredir.microsoft.com/r/rlid2013FlashFillXL?clid=3082" TargetMode="External"/><Relationship Id="rId4" Type="http://schemas.openxmlformats.org/officeDocument/2006/relationships/table" Target="../tables/table1.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1.bin"/><Relationship Id="rId1" Type="http://schemas.openxmlformats.org/officeDocument/2006/relationships/hyperlink" Target="http://o15.officeredir.microsoft.com/r/rlid2013QuickAnalysisXL?clid=3082" TargetMode="External"/><Relationship Id="rId4" Type="http://schemas.openxmlformats.org/officeDocument/2006/relationships/table" Target="../tables/table2.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2.bin"/><Relationship Id="rId1" Type="http://schemas.openxmlformats.org/officeDocument/2006/relationships/hyperlink" Target="http://o15.officeredir.microsoft.com/r/rlid2013ChartRecommendationsXL?clid=3082" TargetMode="Externa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tabSelected="1" workbookViewId="0">
      <selection activeCell="I15" sqref="I15"/>
    </sheetView>
  </sheetViews>
  <sheetFormatPr baseColWidth="10" defaultRowHeight="15" x14ac:dyDescent="0.25"/>
  <cols>
    <col min="1" max="1" width="15.85546875" bestFit="1" customWidth="1"/>
    <col min="2" max="4" width="15.85546875" customWidth="1"/>
    <col min="5" max="5" width="15.85546875" bestFit="1" customWidth="1"/>
    <col min="6" max="7" width="15.85546875" customWidth="1"/>
  </cols>
  <sheetData>
    <row r="1" spans="1:18" ht="15.75" x14ac:dyDescent="0.25">
      <c r="A1" s="597" t="s">
        <v>218</v>
      </c>
      <c r="B1" s="597"/>
      <c r="C1" s="597"/>
      <c r="D1" s="597"/>
      <c r="E1" s="597"/>
      <c r="F1" s="597"/>
      <c r="G1" s="597"/>
    </row>
    <row r="2" spans="1:18" ht="30" customHeight="1" x14ac:dyDescent="0.25">
      <c r="A2" s="598" t="s">
        <v>219</v>
      </c>
      <c r="B2" s="598"/>
      <c r="C2" s="598"/>
      <c r="D2" s="598"/>
      <c r="E2" s="598"/>
      <c r="F2" s="598"/>
      <c r="G2" s="598"/>
    </row>
    <row r="4" spans="1:18" ht="15.75" x14ac:dyDescent="0.25">
      <c r="A4" s="373"/>
      <c r="B4" s="373"/>
      <c r="C4" s="373"/>
      <c r="D4" s="373"/>
      <c r="E4" s="373"/>
    </row>
    <row r="5" spans="1:18" ht="32.25" customHeight="1" x14ac:dyDescent="0.25">
      <c r="A5" s="374"/>
      <c r="B5" s="599" t="s">
        <v>220</v>
      </c>
      <c r="C5" s="600"/>
      <c r="D5" s="600"/>
      <c r="E5" s="600"/>
      <c r="F5" s="601"/>
      <c r="N5" s="373"/>
      <c r="O5" s="373"/>
      <c r="P5" s="373"/>
      <c r="Q5" s="373"/>
      <c r="R5" s="373"/>
    </row>
    <row r="6" spans="1:18" ht="30" customHeight="1" x14ac:dyDescent="0.25">
      <c r="A6" s="374"/>
      <c r="B6" s="602" t="s">
        <v>221</v>
      </c>
      <c r="C6" s="604" t="s">
        <v>61</v>
      </c>
      <c r="D6" s="604"/>
      <c r="E6" s="604" t="s">
        <v>72</v>
      </c>
      <c r="F6" s="604"/>
      <c r="N6" s="374"/>
      <c r="O6" s="375"/>
      <c r="P6" s="375"/>
      <c r="Q6" s="375"/>
      <c r="R6" s="375"/>
    </row>
    <row r="7" spans="1:18" ht="15.75" x14ac:dyDescent="0.25">
      <c r="A7" s="376"/>
      <c r="B7" s="603"/>
      <c r="C7" s="604" t="s">
        <v>222</v>
      </c>
      <c r="D7" s="604"/>
      <c r="E7" s="604" t="s">
        <v>222</v>
      </c>
      <c r="F7" s="604"/>
      <c r="N7" s="374"/>
      <c r="O7" s="375"/>
      <c r="P7" s="375"/>
      <c r="Q7" s="375"/>
      <c r="R7" s="375"/>
    </row>
    <row r="8" spans="1:18" ht="15.75" x14ac:dyDescent="0.25">
      <c r="A8" s="377"/>
      <c r="B8" s="378" t="s">
        <v>223</v>
      </c>
      <c r="C8" s="379" t="s">
        <v>224</v>
      </c>
      <c r="D8" s="380" t="s">
        <v>225</v>
      </c>
      <c r="E8" s="379" t="s">
        <v>224</v>
      </c>
      <c r="F8" s="380" t="s">
        <v>226</v>
      </c>
      <c r="G8" s="24"/>
      <c r="H8" s="24"/>
      <c r="N8" s="376"/>
      <c r="O8" s="376"/>
      <c r="P8" s="381"/>
      <c r="Q8" s="376"/>
      <c r="R8" s="381"/>
    </row>
    <row r="9" spans="1:18" ht="15.75" x14ac:dyDescent="0.25">
      <c r="A9" s="377"/>
      <c r="B9" s="382" t="s">
        <v>224</v>
      </c>
      <c r="C9" s="377" t="s">
        <v>227</v>
      </c>
      <c r="D9" s="383" t="s">
        <v>228</v>
      </c>
      <c r="E9" s="377" t="s">
        <v>227</v>
      </c>
      <c r="F9" s="383" t="s">
        <v>229</v>
      </c>
      <c r="G9" s="24"/>
      <c r="H9" s="24"/>
      <c r="N9" s="376"/>
      <c r="O9" s="376"/>
      <c r="P9" s="381"/>
      <c r="Q9" s="376"/>
      <c r="R9" s="381"/>
    </row>
    <row r="10" spans="1:18" ht="15.75" x14ac:dyDescent="0.25">
      <c r="A10" s="377"/>
      <c r="B10" s="382" t="s">
        <v>227</v>
      </c>
      <c r="C10" s="377" t="s">
        <v>230</v>
      </c>
      <c r="D10" s="383" t="s">
        <v>231</v>
      </c>
      <c r="E10" s="377" t="s">
        <v>230</v>
      </c>
      <c r="F10" s="383" t="s">
        <v>232</v>
      </c>
      <c r="G10" s="24"/>
      <c r="H10" s="24"/>
      <c r="N10" s="376"/>
      <c r="O10" s="376"/>
      <c r="P10" s="381"/>
      <c r="Q10" s="376"/>
      <c r="R10" s="381"/>
    </row>
    <row r="11" spans="1:18" ht="15.75" x14ac:dyDescent="0.25">
      <c r="A11" s="377"/>
      <c r="B11" s="382" t="s">
        <v>230</v>
      </c>
      <c r="C11" s="377" t="s">
        <v>233</v>
      </c>
      <c r="D11" s="383" t="s">
        <v>234</v>
      </c>
      <c r="E11" s="377" t="s">
        <v>233</v>
      </c>
      <c r="F11" s="383" t="s">
        <v>226</v>
      </c>
      <c r="G11" s="24"/>
      <c r="H11" s="24"/>
      <c r="N11" s="376"/>
      <c r="O11" s="376"/>
      <c r="P11" s="381"/>
      <c r="Q11" s="376"/>
      <c r="R11" s="381"/>
    </row>
    <row r="12" spans="1:18" ht="15.75" x14ac:dyDescent="0.25">
      <c r="A12" s="377"/>
      <c r="B12" s="382" t="s">
        <v>233</v>
      </c>
      <c r="C12" s="377" t="s">
        <v>235</v>
      </c>
      <c r="D12" s="383" t="s">
        <v>225</v>
      </c>
      <c r="E12" s="377" t="s">
        <v>235</v>
      </c>
      <c r="F12" s="383" t="s">
        <v>229</v>
      </c>
      <c r="G12" s="24"/>
      <c r="H12" s="24"/>
      <c r="N12" s="376"/>
      <c r="O12" s="376"/>
      <c r="P12" s="381"/>
      <c r="Q12" s="376"/>
      <c r="R12" s="381"/>
    </row>
    <row r="13" spans="1:18" ht="15.75" x14ac:dyDescent="0.25">
      <c r="A13" s="377"/>
      <c r="B13" s="382" t="s">
        <v>235</v>
      </c>
      <c r="C13" s="377" t="s">
        <v>236</v>
      </c>
      <c r="D13" s="383" t="s">
        <v>237</v>
      </c>
      <c r="E13" s="377" t="s">
        <v>236</v>
      </c>
      <c r="F13" s="383" t="s">
        <v>232</v>
      </c>
      <c r="G13" s="24"/>
      <c r="H13" s="24"/>
      <c r="N13" s="376"/>
      <c r="O13" s="376"/>
      <c r="P13" s="381"/>
      <c r="Q13" s="376"/>
      <c r="R13" s="381"/>
    </row>
    <row r="14" spans="1:18" ht="15.75" x14ac:dyDescent="0.25">
      <c r="A14" s="377"/>
      <c r="B14" s="382" t="s">
        <v>236</v>
      </c>
      <c r="C14" s="377" t="s">
        <v>238</v>
      </c>
      <c r="D14" s="383" t="s">
        <v>225</v>
      </c>
      <c r="E14" s="377" t="s">
        <v>238</v>
      </c>
      <c r="F14" s="383" t="s">
        <v>229</v>
      </c>
      <c r="G14" s="24"/>
      <c r="H14" s="24"/>
      <c r="N14" s="376"/>
      <c r="O14" s="376"/>
      <c r="P14" s="381"/>
      <c r="Q14" s="376"/>
      <c r="R14" s="381"/>
    </row>
    <row r="15" spans="1:18" ht="15.75" x14ac:dyDescent="0.25">
      <c r="A15" s="377"/>
      <c r="B15" s="382" t="s">
        <v>238</v>
      </c>
      <c r="C15" s="377" t="s">
        <v>239</v>
      </c>
      <c r="D15" s="383" t="s">
        <v>234</v>
      </c>
      <c r="E15" s="377" t="s">
        <v>239</v>
      </c>
      <c r="F15" s="383" t="s">
        <v>229</v>
      </c>
      <c r="G15" s="24"/>
      <c r="H15" s="24"/>
      <c r="N15" s="376"/>
      <c r="O15" s="376"/>
      <c r="P15" s="381"/>
      <c r="Q15" s="376"/>
      <c r="R15" s="381"/>
    </row>
    <row r="16" spans="1:18" ht="15.75" x14ac:dyDescent="0.25">
      <c r="A16" s="377"/>
      <c r="B16" s="382" t="s">
        <v>239</v>
      </c>
      <c r="C16" s="377" t="s">
        <v>240</v>
      </c>
      <c r="D16" s="383" t="s">
        <v>237</v>
      </c>
      <c r="E16" s="377" t="s">
        <v>240</v>
      </c>
      <c r="F16" s="383" t="s">
        <v>228</v>
      </c>
      <c r="G16" s="24"/>
      <c r="H16" s="24"/>
      <c r="N16" s="376"/>
      <c r="O16" s="376"/>
      <c r="P16" s="381"/>
      <c r="Q16" s="376"/>
      <c r="R16" s="381"/>
    </row>
    <row r="17" spans="1:18" ht="15.75" x14ac:dyDescent="0.25">
      <c r="A17" s="377"/>
      <c r="B17" s="382" t="s">
        <v>240</v>
      </c>
      <c r="C17" s="377" t="s">
        <v>241</v>
      </c>
      <c r="D17" s="383" t="s">
        <v>225</v>
      </c>
      <c r="E17" s="377" t="s">
        <v>241</v>
      </c>
      <c r="F17" s="383" t="s">
        <v>229</v>
      </c>
      <c r="G17" s="24"/>
      <c r="H17" s="24"/>
      <c r="N17" s="376"/>
      <c r="O17" s="376"/>
      <c r="P17" s="381"/>
      <c r="Q17" s="376"/>
      <c r="R17" s="381"/>
    </row>
    <row r="18" spans="1:18" ht="15.75" x14ac:dyDescent="0.25">
      <c r="A18" s="377"/>
      <c r="B18" s="382" t="s">
        <v>241</v>
      </c>
      <c r="C18" s="377" t="s">
        <v>242</v>
      </c>
      <c r="D18" s="383" t="s">
        <v>234</v>
      </c>
      <c r="E18" s="377" t="s">
        <v>242</v>
      </c>
      <c r="F18" s="383" t="s">
        <v>229</v>
      </c>
      <c r="G18" s="24"/>
      <c r="H18" s="24"/>
      <c r="N18" s="376"/>
      <c r="O18" s="376"/>
      <c r="P18" s="381"/>
      <c r="Q18" s="376"/>
      <c r="R18" s="381"/>
    </row>
    <row r="19" spans="1:18" ht="15.75" x14ac:dyDescent="0.25">
      <c r="A19" s="24"/>
      <c r="B19" s="384" t="s">
        <v>242</v>
      </c>
      <c r="C19" s="385" t="s">
        <v>243</v>
      </c>
      <c r="D19" s="386" t="s">
        <v>234</v>
      </c>
      <c r="E19" s="385" t="s">
        <v>243</v>
      </c>
      <c r="F19" s="386" t="s">
        <v>226</v>
      </c>
      <c r="G19" s="24"/>
      <c r="H19" s="24"/>
      <c r="N19" s="376"/>
      <c r="O19" s="387"/>
      <c r="P19" s="381"/>
      <c r="Q19" s="387"/>
      <c r="R19" s="381"/>
    </row>
    <row r="20" spans="1:18" ht="15.75" x14ac:dyDescent="0.25">
      <c r="A20" s="24"/>
      <c r="B20" s="377"/>
      <c r="C20" s="388"/>
      <c r="D20" s="389"/>
      <c r="E20" s="388"/>
      <c r="F20" s="389"/>
      <c r="G20" s="24"/>
      <c r="H20" s="24"/>
      <c r="N20" s="376"/>
      <c r="O20" s="387"/>
      <c r="P20" s="381"/>
      <c r="Q20" s="387"/>
      <c r="R20" s="381"/>
    </row>
    <row r="21" spans="1:18" x14ac:dyDescent="0.25">
      <c r="A21" s="24"/>
      <c r="B21" s="24"/>
      <c r="C21" s="24"/>
      <c r="D21" s="24"/>
      <c r="E21" s="24"/>
      <c r="F21" s="24"/>
      <c r="G21" s="24"/>
      <c r="H21" s="24"/>
    </row>
    <row r="22" spans="1:18" ht="15.75" x14ac:dyDescent="0.25">
      <c r="A22" s="590" t="s">
        <v>220</v>
      </c>
      <c r="B22" s="591"/>
      <c r="C22" s="591"/>
      <c r="D22" s="591"/>
      <c r="E22" s="591"/>
      <c r="F22" s="591"/>
      <c r="G22" s="592"/>
      <c r="H22" s="24"/>
    </row>
    <row r="23" spans="1:18" ht="49.5" customHeight="1" x14ac:dyDescent="0.25">
      <c r="A23" s="593" t="s">
        <v>221</v>
      </c>
      <c r="B23" s="595" t="s">
        <v>119</v>
      </c>
      <c r="C23" s="595"/>
      <c r="D23" s="595" t="s">
        <v>244</v>
      </c>
      <c r="E23" s="595"/>
      <c r="F23" s="595" t="s">
        <v>117</v>
      </c>
      <c r="G23" s="595"/>
      <c r="H23" s="24"/>
    </row>
    <row r="24" spans="1:18" ht="15.75" customHeight="1" x14ac:dyDescent="0.25">
      <c r="A24" s="594"/>
      <c r="B24" s="593" t="s">
        <v>222</v>
      </c>
      <c r="C24" s="593"/>
      <c r="D24" s="595" t="s">
        <v>222</v>
      </c>
      <c r="E24" s="595"/>
      <c r="F24" s="593" t="s">
        <v>222</v>
      </c>
      <c r="G24" s="593"/>
      <c r="H24" s="24"/>
    </row>
    <row r="25" spans="1:18" ht="15.75" x14ac:dyDescent="0.25">
      <c r="A25" s="378" t="s">
        <v>223</v>
      </c>
      <c r="B25" s="379" t="s">
        <v>224</v>
      </c>
      <c r="C25" s="380" t="s">
        <v>226</v>
      </c>
      <c r="D25" s="379" t="s">
        <v>223</v>
      </c>
      <c r="E25" s="380" t="s">
        <v>245</v>
      </c>
      <c r="F25" s="379" t="s">
        <v>224</v>
      </c>
      <c r="G25" s="380" t="s">
        <v>225</v>
      </c>
      <c r="H25" s="24"/>
    </row>
    <row r="26" spans="1:18" ht="15.75" x14ac:dyDescent="0.25">
      <c r="A26" s="382" t="s">
        <v>224</v>
      </c>
      <c r="B26" s="377" t="s">
        <v>227</v>
      </c>
      <c r="C26" s="383" t="s">
        <v>229</v>
      </c>
      <c r="D26" s="377" t="s">
        <v>224</v>
      </c>
      <c r="E26" s="383" t="s">
        <v>246</v>
      </c>
      <c r="F26" s="377" t="s">
        <v>227</v>
      </c>
      <c r="G26" s="383" t="s">
        <v>228</v>
      </c>
      <c r="H26" s="24"/>
    </row>
    <row r="27" spans="1:18" ht="15.75" x14ac:dyDescent="0.25">
      <c r="A27" s="382" t="s">
        <v>227</v>
      </c>
      <c r="B27" s="377" t="s">
        <v>230</v>
      </c>
      <c r="C27" s="383" t="s">
        <v>247</v>
      </c>
      <c r="D27" s="377" t="s">
        <v>227</v>
      </c>
      <c r="E27" s="383" t="s">
        <v>248</v>
      </c>
      <c r="F27" s="377" t="s">
        <v>230</v>
      </c>
      <c r="G27" s="383" t="s">
        <v>231</v>
      </c>
      <c r="H27" s="24"/>
    </row>
    <row r="28" spans="1:18" ht="15.75" x14ac:dyDescent="0.25">
      <c r="A28" s="382" t="s">
        <v>230</v>
      </c>
      <c r="B28" s="377" t="s">
        <v>233</v>
      </c>
      <c r="C28" s="383" t="s">
        <v>226</v>
      </c>
      <c r="D28" s="377" t="s">
        <v>230</v>
      </c>
      <c r="E28" s="383" t="s">
        <v>245</v>
      </c>
      <c r="F28" s="377" t="s">
        <v>233</v>
      </c>
      <c r="G28" s="383" t="s">
        <v>234</v>
      </c>
      <c r="H28" s="24"/>
    </row>
    <row r="29" spans="1:18" ht="15.75" x14ac:dyDescent="0.25">
      <c r="A29" s="382" t="s">
        <v>233</v>
      </c>
      <c r="B29" s="377" t="s">
        <v>235</v>
      </c>
      <c r="C29" s="383" t="s">
        <v>229</v>
      </c>
      <c r="D29" s="377" t="s">
        <v>233</v>
      </c>
      <c r="E29" s="383" t="s">
        <v>245</v>
      </c>
      <c r="F29" s="377" t="s">
        <v>235</v>
      </c>
      <c r="G29" s="383" t="s">
        <v>225</v>
      </c>
      <c r="H29" s="24"/>
    </row>
    <row r="30" spans="1:18" ht="15.75" x14ac:dyDescent="0.25">
      <c r="A30" s="382" t="s">
        <v>235</v>
      </c>
      <c r="B30" s="377" t="s">
        <v>236</v>
      </c>
      <c r="C30" s="383" t="s">
        <v>247</v>
      </c>
      <c r="D30" s="377" t="s">
        <v>235</v>
      </c>
      <c r="E30" s="383" t="s">
        <v>249</v>
      </c>
      <c r="F30" s="377" t="s">
        <v>236</v>
      </c>
      <c r="G30" s="383" t="s">
        <v>234</v>
      </c>
      <c r="H30" s="24"/>
    </row>
    <row r="31" spans="1:18" ht="15.75" x14ac:dyDescent="0.25">
      <c r="A31" s="382" t="s">
        <v>236</v>
      </c>
      <c r="B31" s="377" t="s">
        <v>238</v>
      </c>
      <c r="C31" s="383" t="s">
        <v>229</v>
      </c>
      <c r="D31" s="377" t="s">
        <v>236</v>
      </c>
      <c r="E31" s="383" t="s">
        <v>245</v>
      </c>
      <c r="F31" s="377" t="s">
        <v>238</v>
      </c>
      <c r="G31" s="383" t="s">
        <v>225</v>
      </c>
      <c r="H31" s="24"/>
    </row>
    <row r="32" spans="1:18" ht="15.75" x14ac:dyDescent="0.25">
      <c r="A32" s="382" t="s">
        <v>238</v>
      </c>
      <c r="B32" s="377" t="s">
        <v>239</v>
      </c>
      <c r="C32" s="383" t="s">
        <v>229</v>
      </c>
      <c r="D32" s="377" t="s">
        <v>238</v>
      </c>
      <c r="E32" s="383" t="s">
        <v>245</v>
      </c>
      <c r="F32" s="377" t="s">
        <v>239</v>
      </c>
      <c r="G32" s="383" t="s">
        <v>234</v>
      </c>
      <c r="H32" s="24"/>
    </row>
    <row r="33" spans="1:8" ht="15.75" x14ac:dyDescent="0.25">
      <c r="A33" s="382" t="s">
        <v>239</v>
      </c>
      <c r="B33" s="377" t="s">
        <v>240</v>
      </c>
      <c r="C33" s="383" t="s">
        <v>226</v>
      </c>
      <c r="D33" s="377" t="s">
        <v>239</v>
      </c>
      <c r="E33" s="383" t="s">
        <v>245</v>
      </c>
      <c r="F33" s="377" t="s">
        <v>240</v>
      </c>
      <c r="G33" s="383" t="s">
        <v>237</v>
      </c>
      <c r="H33" s="24"/>
    </row>
    <row r="34" spans="1:8" ht="15.75" x14ac:dyDescent="0.25">
      <c r="A34" s="382" t="s">
        <v>240</v>
      </c>
      <c r="B34" s="377" t="s">
        <v>241</v>
      </c>
      <c r="C34" s="383" t="s">
        <v>229</v>
      </c>
      <c r="D34" s="377" t="s">
        <v>240</v>
      </c>
      <c r="E34" s="383" t="s">
        <v>245</v>
      </c>
      <c r="F34" s="377" t="s">
        <v>241</v>
      </c>
      <c r="G34" s="383" t="s">
        <v>225</v>
      </c>
      <c r="H34" s="24"/>
    </row>
    <row r="35" spans="1:8" ht="15.75" x14ac:dyDescent="0.25">
      <c r="A35" s="382" t="s">
        <v>241</v>
      </c>
      <c r="B35" s="377" t="s">
        <v>242</v>
      </c>
      <c r="C35" s="383" t="s">
        <v>229</v>
      </c>
      <c r="D35" s="377" t="s">
        <v>241</v>
      </c>
      <c r="E35" s="383" t="s">
        <v>248</v>
      </c>
      <c r="F35" s="377" t="s">
        <v>242</v>
      </c>
      <c r="G35" s="383" t="s">
        <v>231</v>
      </c>
      <c r="H35" s="24"/>
    </row>
    <row r="36" spans="1:8" ht="15.75" x14ac:dyDescent="0.25">
      <c r="A36" s="384" t="s">
        <v>242</v>
      </c>
      <c r="B36" s="385" t="s">
        <v>243</v>
      </c>
      <c r="C36" s="386" t="s">
        <v>229</v>
      </c>
      <c r="D36" s="385" t="s">
        <v>242</v>
      </c>
      <c r="E36" s="386" t="s">
        <v>245</v>
      </c>
      <c r="F36" s="385" t="s">
        <v>243</v>
      </c>
      <c r="G36" s="386" t="s">
        <v>234</v>
      </c>
      <c r="H36" s="24"/>
    </row>
    <row r="37" spans="1:8" x14ac:dyDescent="0.25">
      <c r="A37" s="24"/>
      <c r="B37" s="24"/>
      <c r="C37" s="24"/>
      <c r="D37" s="24"/>
      <c r="E37" s="24"/>
      <c r="F37" s="24"/>
      <c r="G37" s="24"/>
      <c r="H37" s="24"/>
    </row>
    <row r="38" spans="1:8" x14ac:dyDescent="0.25">
      <c r="A38" s="24"/>
      <c r="B38" s="24"/>
      <c r="C38" s="24"/>
      <c r="D38" s="24"/>
      <c r="E38" s="24"/>
      <c r="F38" s="24"/>
      <c r="G38" s="24"/>
      <c r="H38" s="24"/>
    </row>
    <row r="39" spans="1:8" ht="15.75" x14ac:dyDescent="0.25">
      <c r="A39" s="590" t="s">
        <v>220</v>
      </c>
      <c r="B39" s="591"/>
      <c r="C39" s="591"/>
      <c r="D39" s="591"/>
      <c r="E39" s="591"/>
      <c r="F39" s="591"/>
      <c r="G39" s="592"/>
      <c r="H39" s="24"/>
    </row>
    <row r="40" spans="1:8" ht="49.5" customHeight="1" x14ac:dyDescent="0.25">
      <c r="A40" s="593" t="s">
        <v>221</v>
      </c>
      <c r="B40" s="595" t="s">
        <v>118</v>
      </c>
      <c r="C40" s="595"/>
      <c r="D40" s="596" t="s">
        <v>250</v>
      </c>
      <c r="E40" s="596"/>
      <c r="F40" s="596" t="s">
        <v>251</v>
      </c>
      <c r="G40" s="596"/>
      <c r="H40" s="24"/>
    </row>
    <row r="41" spans="1:8" x14ac:dyDescent="0.25">
      <c r="A41" s="594"/>
      <c r="B41" s="593" t="s">
        <v>222</v>
      </c>
      <c r="C41" s="593"/>
      <c r="D41" s="595" t="s">
        <v>222</v>
      </c>
      <c r="E41" s="595"/>
      <c r="F41" s="593" t="s">
        <v>222</v>
      </c>
      <c r="G41" s="593"/>
      <c r="H41" s="24"/>
    </row>
    <row r="42" spans="1:8" ht="15.75" x14ac:dyDescent="0.25">
      <c r="A42" s="378" t="s">
        <v>223</v>
      </c>
      <c r="B42" s="379" t="s">
        <v>223</v>
      </c>
      <c r="C42" s="380" t="s">
        <v>245</v>
      </c>
      <c r="D42" s="379" t="s">
        <v>224</v>
      </c>
      <c r="E42" s="380" t="s">
        <v>225</v>
      </c>
      <c r="F42" s="379" t="s">
        <v>223</v>
      </c>
      <c r="G42" s="380" t="s">
        <v>245</v>
      </c>
      <c r="H42" s="24"/>
    </row>
    <row r="43" spans="1:8" ht="15.75" x14ac:dyDescent="0.25">
      <c r="A43" s="382" t="s">
        <v>224</v>
      </c>
      <c r="B43" s="377" t="s">
        <v>224</v>
      </c>
      <c r="C43" s="383" t="s">
        <v>246</v>
      </c>
      <c r="D43" s="377" t="s">
        <v>227</v>
      </c>
      <c r="E43" s="383" t="s">
        <v>228</v>
      </c>
      <c r="F43" s="377" t="s">
        <v>224</v>
      </c>
      <c r="G43" s="383" t="s">
        <v>246</v>
      </c>
      <c r="H43" s="24"/>
    </row>
    <row r="44" spans="1:8" ht="15.75" x14ac:dyDescent="0.25">
      <c r="A44" s="382" t="s">
        <v>227</v>
      </c>
      <c r="B44" s="377" t="s">
        <v>227</v>
      </c>
      <c r="C44" s="383" t="s">
        <v>248</v>
      </c>
      <c r="D44" s="377" t="s">
        <v>230</v>
      </c>
      <c r="E44" s="383" t="s">
        <v>231</v>
      </c>
      <c r="F44" s="377" t="s">
        <v>227</v>
      </c>
      <c r="G44" s="383" t="s">
        <v>248</v>
      </c>
      <c r="H44" s="24"/>
    </row>
    <row r="45" spans="1:8" ht="15.75" x14ac:dyDescent="0.25">
      <c r="A45" s="382" t="s">
        <v>230</v>
      </c>
      <c r="B45" s="377" t="s">
        <v>230</v>
      </c>
      <c r="C45" s="383" t="s">
        <v>245</v>
      </c>
      <c r="D45" s="377" t="s">
        <v>233</v>
      </c>
      <c r="E45" s="383" t="s">
        <v>234</v>
      </c>
      <c r="F45" s="377" t="s">
        <v>230</v>
      </c>
      <c r="G45" s="383" t="s">
        <v>245</v>
      </c>
      <c r="H45" s="24"/>
    </row>
    <row r="46" spans="1:8" ht="15.75" x14ac:dyDescent="0.25">
      <c r="A46" s="382" t="s">
        <v>233</v>
      </c>
      <c r="B46" s="377" t="s">
        <v>233</v>
      </c>
      <c r="C46" s="383" t="s">
        <v>245</v>
      </c>
      <c r="D46" s="377" t="s">
        <v>235</v>
      </c>
      <c r="E46" s="383" t="s">
        <v>225</v>
      </c>
      <c r="F46" s="377" t="s">
        <v>233</v>
      </c>
      <c r="G46" s="383" t="s">
        <v>245</v>
      </c>
      <c r="H46" s="24"/>
    </row>
    <row r="47" spans="1:8" ht="15.75" x14ac:dyDescent="0.25">
      <c r="A47" s="382" t="s">
        <v>235</v>
      </c>
      <c r="B47" s="377" t="s">
        <v>235</v>
      </c>
      <c r="C47" s="383" t="s">
        <v>249</v>
      </c>
      <c r="D47" s="377" t="s">
        <v>236</v>
      </c>
      <c r="E47" s="383" t="s">
        <v>234</v>
      </c>
      <c r="F47" s="377" t="s">
        <v>235</v>
      </c>
      <c r="G47" s="383" t="s">
        <v>249</v>
      </c>
      <c r="H47" s="24"/>
    </row>
    <row r="48" spans="1:8" ht="15.75" x14ac:dyDescent="0.25">
      <c r="A48" s="382" t="s">
        <v>236</v>
      </c>
      <c r="B48" s="377" t="s">
        <v>236</v>
      </c>
      <c r="C48" s="383" t="s">
        <v>245</v>
      </c>
      <c r="D48" s="377" t="s">
        <v>238</v>
      </c>
      <c r="E48" s="383" t="s">
        <v>225</v>
      </c>
      <c r="F48" s="377" t="s">
        <v>236</v>
      </c>
      <c r="G48" s="383" t="s">
        <v>245</v>
      </c>
      <c r="H48" s="24"/>
    </row>
    <row r="49" spans="1:8" ht="15.75" x14ac:dyDescent="0.25">
      <c r="A49" s="382" t="s">
        <v>238</v>
      </c>
      <c r="B49" s="377" t="s">
        <v>238</v>
      </c>
      <c r="C49" s="383" t="s">
        <v>245</v>
      </c>
      <c r="D49" s="377" t="s">
        <v>239</v>
      </c>
      <c r="E49" s="383" t="s">
        <v>234</v>
      </c>
      <c r="F49" s="377" t="s">
        <v>238</v>
      </c>
      <c r="G49" s="383" t="s">
        <v>245</v>
      </c>
      <c r="H49" s="24"/>
    </row>
    <row r="50" spans="1:8" ht="15.75" x14ac:dyDescent="0.25">
      <c r="A50" s="382" t="s">
        <v>239</v>
      </c>
      <c r="B50" s="377" t="s">
        <v>239</v>
      </c>
      <c r="C50" s="383" t="s">
        <v>245</v>
      </c>
      <c r="D50" s="377" t="s">
        <v>240</v>
      </c>
      <c r="E50" s="383" t="s">
        <v>237</v>
      </c>
      <c r="F50" s="377" t="s">
        <v>239</v>
      </c>
      <c r="G50" s="383" t="s">
        <v>245</v>
      </c>
      <c r="H50" s="24"/>
    </row>
    <row r="51" spans="1:8" ht="15.75" x14ac:dyDescent="0.25">
      <c r="A51" s="382" t="s">
        <v>240</v>
      </c>
      <c r="B51" s="377" t="s">
        <v>240</v>
      </c>
      <c r="C51" s="383" t="s">
        <v>245</v>
      </c>
      <c r="D51" s="377" t="s">
        <v>241</v>
      </c>
      <c r="E51" s="383" t="s">
        <v>225</v>
      </c>
      <c r="F51" s="377" t="s">
        <v>240</v>
      </c>
      <c r="G51" s="383" t="s">
        <v>245</v>
      </c>
      <c r="H51" s="24"/>
    </row>
    <row r="52" spans="1:8" ht="15.75" x14ac:dyDescent="0.25">
      <c r="A52" s="382" t="s">
        <v>241</v>
      </c>
      <c r="B52" s="377" t="s">
        <v>241</v>
      </c>
      <c r="C52" s="383" t="s">
        <v>248</v>
      </c>
      <c r="D52" s="377" t="s">
        <v>242</v>
      </c>
      <c r="E52" s="383" t="s">
        <v>231</v>
      </c>
      <c r="F52" s="377" t="s">
        <v>241</v>
      </c>
      <c r="G52" s="383" t="s">
        <v>248</v>
      </c>
      <c r="H52" s="24"/>
    </row>
    <row r="53" spans="1:8" ht="15.75" x14ac:dyDescent="0.25">
      <c r="A53" s="384" t="s">
        <v>242</v>
      </c>
      <c r="B53" s="385" t="s">
        <v>242</v>
      </c>
      <c r="C53" s="386" t="s">
        <v>245</v>
      </c>
      <c r="D53" s="385" t="s">
        <v>243</v>
      </c>
      <c r="E53" s="386" t="s">
        <v>234</v>
      </c>
      <c r="F53" s="385" t="s">
        <v>242</v>
      </c>
      <c r="G53" s="386" t="s">
        <v>245</v>
      </c>
      <c r="H53" s="24"/>
    </row>
    <row r="54" spans="1:8" x14ac:dyDescent="0.25">
      <c r="A54" s="24"/>
      <c r="B54" s="24"/>
      <c r="C54" s="24"/>
      <c r="D54" s="24"/>
      <c r="E54" s="24"/>
      <c r="F54" s="24"/>
      <c r="G54" s="24"/>
      <c r="H54" s="24"/>
    </row>
    <row r="55" spans="1:8" x14ac:dyDescent="0.25">
      <c r="A55" s="24"/>
      <c r="B55" s="24"/>
      <c r="C55" s="24"/>
      <c r="D55" s="24"/>
      <c r="E55" s="24"/>
      <c r="F55" s="24"/>
      <c r="G55" s="24"/>
      <c r="H55" s="24"/>
    </row>
    <row r="56" spans="1:8" x14ac:dyDescent="0.25">
      <c r="A56" s="24"/>
      <c r="B56" s="24"/>
      <c r="C56" s="24"/>
      <c r="D56" s="24"/>
      <c r="E56" s="24"/>
      <c r="F56" s="24"/>
      <c r="G56" s="24"/>
      <c r="H56" s="24"/>
    </row>
    <row r="57" spans="1:8" x14ac:dyDescent="0.25">
      <c r="A57" s="24"/>
      <c r="B57" s="24"/>
      <c r="C57" s="24"/>
      <c r="D57" s="24"/>
      <c r="E57" s="24"/>
      <c r="F57" s="24"/>
      <c r="G57" s="24"/>
      <c r="H57" s="24"/>
    </row>
    <row r="58" spans="1:8" x14ac:dyDescent="0.25">
      <c r="A58" s="24"/>
      <c r="B58" s="24"/>
      <c r="C58" s="24"/>
      <c r="D58" s="24"/>
      <c r="E58" s="24"/>
      <c r="F58" s="24"/>
      <c r="G58" s="24"/>
      <c r="H58" s="24"/>
    </row>
    <row r="59" spans="1:8" x14ac:dyDescent="0.25">
      <c r="A59" s="24"/>
      <c r="B59" s="24"/>
      <c r="C59" s="24"/>
      <c r="D59" s="24"/>
      <c r="E59" s="24"/>
      <c r="F59" s="24"/>
      <c r="G59" s="24"/>
      <c r="H59" s="24"/>
    </row>
    <row r="60" spans="1:8" x14ac:dyDescent="0.25">
      <c r="A60" s="24"/>
      <c r="B60" s="24"/>
      <c r="C60" s="24"/>
      <c r="D60" s="24"/>
      <c r="E60" s="24"/>
      <c r="F60" s="24"/>
      <c r="G60" s="24"/>
      <c r="H60" s="24"/>
    </row>
    <row r="61" spans="1:8" x14ac:dyDescent="0.25">
      <c r="A61" s="24"/>
      <c r="B61" s="24"/>
      <c r="C61" s="24"/>
      <c r="D61" s="24"/>
      <c r="E61" s="24"/>
      <c r="F61" s="24"/>
      <c r="G61" s="24"/>
      <c r="H61" s="24"/>
    </row>
    <row r="62" spans="1:8" x14ac:dyDescent="0.25">
      <c r="A62" s="24"/>
      <c r="B62" s="24"/>
      <c r="C62" s="24"/>
      <c r="D62" s="24"/>
      <c r="E62" s="24"/>
      <c r="F62" s="24"/>
      <c r="G62" s="24"/>
      <c r="H62" s="24"/>
    </row>
    <row r="63" spans="1:8" x14ac:dyDescent="0.25">
      <c r="A63" s="24"/>
      <c r="B63" s="24"/>
      <c r="C63" s="24"/>
      <c r="D63" s="24"/>
      <c r="E63" s="24"/>
      <c r="F63" s="24"/>
      <c r="G63" s="24"/>
      <c r="H63" s="24"/>
    </row>
    <row r="64" spans="1:8" x14ac:dyDescent="0.25">
      <c r="A64" s="24"/>
      <c r="B64" s="24"/>
      <c r="C64" s="24"/>
      <c r="D64" s="24"/>
      <c r="E64" s="24"/>
      <c r="F64" s="24"/>
      <c r="G64" s="24"/>
      <c r="H64" s="24"/>
    </row>
    <row r="65" spans="1:8" x14ac:dyDescent="0.25">
      <c r="A65" s="24"/>
      <c r="B65" s="24"/>
      <c r="C65" s="24"/>
      <c r="D65" s="24"/>
      <c r="E65" s="24"/>
      <c r="F65" s="24"/>
      <c r="G65" s="24"/>
      <c r="H65" s="24"/>
    </row>
    <row r="66" spans="1:8" x14ac:dyDescent="0.25">
      <c r="A66" s="24"/>
      <c r="B66" s="24"/>
      <c r="C66" s="24"/>
      <c r="D66" s="24"/>
      <c r="E66" s="24"/>
      <c r="F66" s="24"/>
      <c r="G66" s="24"/>
      <c r="H66" s="24"/>
    </row>
    <row r="67" spans="1:8" x14ac:dyDescent="0.25">
      <c r="A67" s="24"/>
      <c r="B67" s="24"/>
      <c r="C67" s="24"/>
      <c r="D67" s="24"/>
      <c r="E67" s="24"/>
      <c r="F67" s="24"/>
      <c r="G67" s="24"/>
      <c r="H67" s="24"/>
    </row>
    <row r="68" spans="1:8" x14ac:dyDescent="0.25">
      <c r="A68" s="24"/>
      <c r="B68" s="24"/>
      <c r="C68" s="24"/>
      <c r="D68" s="24"/>
      <c r="E68" s="24"/>
      <c r="F68" s="24"/>
      <c r="G68" s="24"/>
      <c r="H68" s="24"/>
    </row>
    <row r="69" spans="1:8" x14ac:dyDescent="0.25">
      <c r="A69" s="24"/>
      <c r="B69" s="24"/>
      <c r="C69" s="24"/>
      <c r="D69" s="24"/>
      <c r="E69" s="24"/>
      <c r="F69" s="24"/>
      <c r="G69" s="24"/>
      <c r="H69" s="24"/>
    </row>
    <row r="70" spans="1:8" x14ac:dyDescent="0.25">
      <c r="A70" s="24"/>
      <c r="B70" s="24"/>
      <c r="C70" s="24"/>
      <c r="D70" s="24"/>
      <c r="E70" s="24"/>
      <c r="F70" s="24"/>
      <c r="G70" s="24"/>
      <c r="H70" s="24"/>
    </row>
    <row r="71" spans="1:8" x14ac:dyDescent="0.25">
      <c r="A71" s="24"/>
      <c r="B71" s="24"/>
      <c r="C71" s="24"/>
      <c r="D71" s="24"/>
      <c r="E71" s="24"/>
      <c r="F71" s="24"/>
      <c r="G71" s="24"/>
      <c r="H71" s="24"/>
    </row>
    <row r="72" spans="1:8" x14ac:dyDescent="0.25">
      <c r="A72" s="24"/>
      <c r="B72" s="24"/>
      <c r="C72" s="24"/>
      <c r="D72" s="24"/>
      <c r="E72" s="24"/>
      <c r="F72" s="24"/>
      <c r="G72" s="24"/>
      <c r="H72" s="24"/>
    </row>
    <row r="73" spans="1:8" x14ac:dyDescent="0.25">
      <c r="A73" s="24"/>
      <c r="B73" s="24"/>
      <c r="C73" s="24"/>
      <c r="D73" s="24"/>
      <c r="E73" s="24"/>
      <c r="F73" s="24"/>
      <c r="G73" s="24"/>
      <c r="H73" s="24"/>
    </row>
  </sheetData>
  <mergeCells count="24">
    <mergeCell ref="A1:G1"/>
    <mergeCell ref="A2:G2"/>
    <mergeCell ref="B5:F5"/>
    <mergeCell ref="B6:B7"/>
    <mergeCell ref="C6:D6"/>
    <mergeCell ref="E6:F6"/>
    <mergeCell ref="C7:D7"/>
    <mergeCell ref="E7:F7"/>
    <mergeCell ref="A22:G22"/>
    <mergeCell ref="A23:A24"/>
    <mergeCell ref="B23:C23"/>
    <mergeCell ref="D23:E23"/>
    <mergeCell ref="F23:G23"/>
    <mergeCell ref="B24:C24"/>
    <mergeCell ref="D24:E24"/>
    <mergeCell ref="F24:G24"/>
    <mergeCell ref="A39:G39"/>
    <mergeCell ref="A40:A41"/>
    <mergeCell ref="B40:C40"/>
    <mergeCell ref="D40:E40"/>
    <mergeCell ref="F40:G40"/>
    <mergeCell ref="B41:C41"/>
    <mergeCell ref="D41:E41"/>
    <mergeCell ref="F41:G41"/>
  </mergeCells>
  <pageMargins left="0.5" right="0.48" top="0.21" bottom="0.14000000000000001" header="0.26" footer="0.31496062992125984"/>
  <pageSetup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36"/>
  <sheetViews>
    <sheetView workbookViewId="0">
      <selection activeCell="I18" sqref="I18"/>
    </sheetView>
  </sheetViews>
  <sheetFormatPr baseColWidth="10" defaultRowHeight="15" x14ac:dyDescent="0.25"/>
  <cols>
    <col min="1" max="1" width="3.5703125" customWidth="1"/>
    <col min="2" max="2" width="21.28515625" customWidth="1"/>
    <col min="3" max="3" width="15.28515625" customWidth="1"/>
    <col min="4" max="4" width="15.28515625" hidden="1" customWidth="1"/>
    <col min="5" max="5" width="16.5703125" bestFit="1" customWidth="1"/>
    <col min="6" max="6" width="14.7109375" customWidth="1"/>
    <col min="7" max="7" width="14.7109375" hidden="1" customWidth="1"/>
    <col min="8" max="8" width="15.28515625" bestFit="1" customWidth="1"/>
    <col min="9" max="9" width="15" customWidth="1"/>
    <col min="10" max="10" width="15.5703125" customWidth="1"/>
    <col min="11" max="11" width="15.85546875" customWidth="1"/>
    <col min="12" max="12" width="15.5703125" customWidth="1"/>
    <col min="13" max="13" width="15.5703125" hidden="1" customWidth="1"/>
    <col min="14" max="14" width="14.140625" hidden="1" customWidth="1"/>
    <col min="15" max="15" width="19" hidden="1" customWidth="1"/>
    <col min="16" max="16" width="17.5703125" hidden="1" customWidth="1"/>
    <col min="17" max="17" width="16.5703125" hidden="1" customWidth="1"/>
    <col min="18" max="18" width="14.85546875" hidden="1" customWidth="1"/>
    <col min="19" max="20" width="15.42578125" style="232" hidden="1" customWidth="1"/>
    <col min="21" max="21" width="15.85546875" customWidth="1"/>
    <col min="22" max="22" width="14.7109375" customWidth="1"/>
    <col min="23" max="23" width="15.140625" customWidth="1"/>
  </cols>
  <sheetData>
    <row r="2" spans="2:27" x14ac:dyDescent="0.25">
      <c r="B2" s="1"/>
      <c r="C2" s="1"/>
      <c r="D2" s="1"/>
      <c r="E2" s="1"/>
      <c r="F2" s="1"/>
      <c r="G2" s="1"/>
      <c r="H2" s="1"/>
      <c r="I2" s="1"/>
      <c r="J2" s="1"/>
      <c r="K2" s="1"/>
      <c r="L2" s="1"/>
      <c r="M2" s="1"/>
      <c r="N2" s="1"/>
      <c r="O2" s="1"/>
      <c r="P2" s="1"/>
      <c r="Q2" s="1"/>
      <c r="R2" s="1"/>
      <c r="U2" s="231"/>
    </row>
    <row r="3" spans="2:27" x14ac:dyDescent="0.25">
      <c r="B3" s="624" t="s">
        <v>346</v>
      </c>
      <c r="C3" s="624"/>
      <c r="D3" s="624"/>
      <c r="E3" s="624"/>
      <c r="F3" s="624"/>
      <c r="G3" s="624"/>
      <c r="H3" s="624"/>
      <c r="I3" s="624"/>
      <c r="J3" s="624"/>
      <c r="K3" s="624"/>
      <c r="L3" s="624"/>
      <c r="M3" s="1"/>
      <c r="N3" s="1"/>
      <c r="O3" s="1"/>
      <c r="P3" s="231" t="s">
        <v>102</v>
      </c>
      <c r="Q3" s="1"/>
      <c r="R3" s="1"/>
      <c r="S3" s="2"/>
      <c r="T3" s="2"/>
    </row>
    <row r="4" spans="2:27" ht="15.75" thickBot="1" x14ac:dyDescent="0.3">
      <c r="B4" s="684"/>
      <c r="C4" s="684"/>
      <c r="D4" s="684"/>
      <c r="E4" s="684"/>
      <c r="F4" s="684"/>
      <c r="G4" s="684"/>
      <c r="H4" s="684"/>
      <c r="I4" s="684"/>
      <c r="J4" s="684"/>
      <c r="K4" s="684"/>
      <c r="L4" s="684"/>
      <c r="M4" s="739"/>
      <c r="N4" s="739"/>
      <c r="O4" s="230"/>
      <c r="P4" s="230"/>
      <c r="Q4" s="230"/>
      <c r="R4" s="230"/>
      <c r="S4" s="230"/>
      <c r="T4" s="230"/>
      <c r="U4" s="230"/>
    </row>
    <row r="5" spans="2:27" ht="15" customHeight="1" x14ac:dyDescent="0.25">
      <c r="B5" s="696" t="s">
        <v>26</v>
      </c>
      <c r="C5" s="358" t="s">
        <v>192</v>
      </c>
      <c r="D5" s="512" t="s">
        <v>88</v>
      </c>
      <c r="E5" s="731" t="s">
        <v>341</v>
      </c>
      <c r="F5" s="358" t="s">
        <v>193</v>
      </c>
      <c r="G5" s="512" t="s">
        <v>89</v>
      </c>
      <c r="H5" s="731" t="s">
        <v>342</v>
      </c>
      <c r="I5" s="358" t="s">
        <v>196</v>
      </c>
      <c r="J5" s="370" t="s">
        <v>196</v>
      </c>
      <c r="K5" s="733" t="s">
        <v>343</v>
      </c>
      <c r="L5" s="735" t="s">
        <v>344</v>
      </c>
      <c r="M5" s="236"/>
      <c r="N5" s="3" t="s">
        <v>92</v>
      </c>
      <c r="O5" s="3"/>
      <c r="P5" s="3" t="s">
        <v>56</v>
      </c>
      <c r="Q5" s="730"/>
      <c r="R5" s="730"/>
      <c r="S5" s="230"/>
      <c r="T5" s="230"/>
      <c r="U5" s="230"/>
      <c r="V5" s="230"/>
      <c r="W5" s="31"/>
      <c r="X5" s="31"/>
      <c r="Y5" s="41"/>
      <c r="Z5" s="41"/>
      <c r="AA5" s="41"/>
    </row>
    <row r="6" spans="2:27" x14ac:dyDescent="0.25">
      <c r="B6" s="697"/>
      <c r="C6" s="513" t="s">
        <v>340</v>
      </c>
      <c r="D6" s="514" t="s">
        <v>94</v>
      </c>
      <c r="E6" s="732"/>
      <c r="F6" s="513" t="s">
        <v>340</v>
      </c>
      <c r="G6" s="514" t="s">
        <v>94</v>
      </c>
      <c r="H6" s="732"/>
      <c r="I6" s="513" t="s">
        <v>340</v>
      </c>
      <c r="J6" s="515" t="s">
        <v>121</v>
      </c>
      <c r="K6" s="734"/>
      <c r="L6" s="736"/>
      <c r="M6" s="245"/>
      <c r="N6" s="4" t="s">
        <v>93</v>
      </c>
      <c r="O6" s="4"/>
      <c r="P6" s="4" t="s">
        <v>87</v>
      </c>
      <c r="Q6" s="730"/>
      <c r="R6" s="730"/>
      <c r="S6" s="230"/>
      <c r="T6" s="230"/>
      <c r="U6" s="230"/>
      <c r="V6" s="230"/>
      <c r="W6" s="31"/>
      <c r="X6" s="31"/>
      <c r="Y6" s="41"/>
      <c r="Z6" s="41"/>
      <c r="AA6" s="41"/>
    </row>
    <row r="7" spans="2:27" x14ac:dyDescent="0.25">
      <c r="B7" s="697"/>
      <c r="C7" s="516">
        <v>0.6</v>
      </c>
      <c r="D7" s="517"/>
      <c r="E7" s="518"/>
      <c r="F7" s="516">
        <v>0.3</v>
      </c>
      <c r="G7" s="517"/>
      <c r="H7" s="518"/>
      <c r="I7" s="516">
        <v>0.1</v>
      </c>
      <c r="J7" s="519"/>
      <c r="K7" s="516"/>
      <c r="L7" s="736"/>
      <c r="M7" s="246"/>
      <c r="N7" s="4" t="s">
        <v>95</v>
      </c>
      <c r="O7" s="4"/>
      <c r="P7" s="30"/>
      <c r="Q7" s="230"/>
      <c r="R7" s="230"/>
      <c r="S7" s="230"/>
      <c r="T7" s="230"/>
      <c r="U7" s="230"/>
      <c r="V7" s="230"/>
      <c r="W7" s="31"/>
      <c r="X7" s="31"/>
      <c r="Y7" s="41"/>
      <c r="Z7" s="41"/>
      <c r="AA7" s="41"/>
    </row>
    <row r="8" spans="2:27" ht="15.75" thickBot="1" x14ac:dyDescent="0.3">
      <c r="B8" s="698"/>
      <c r="C8" s="520">
        <v>1</v>
      </c>
      <c r="D8" s="521" t="s">
        <v>97</v>
      </c>
      <c r="E8" s="522" t="s">
        <v>106</v>
      </c>
      <c r="F8" s="520">
        <v>3</v>
      </c>
      <c r="G8" s="521" t="s">
        <v>99</v>
      </c>
      <c r="H8" s="522" t="s">
        <v>106</v>
      </c>
      <c r="I8" s="520">
        <v>5</v>
      </c>
      <c r="J8" s="523" t="s">
        <v>98</v>
      </c>
      <c r="K8" s="520" t="s">
        <v>106</v>
      </c>
      <c r="L8" s="737"/>
      <c r="M8" s="237"/>
      <c r="N8" s="5" t="s">
        <v>100</v>
      </c>
      <c r="O8" s="5"/>
      <c r="P8" s="5" t="s">
        <v>96</v>
      </c>
      <c r="Q8" s="37"/>
      <c r="R8" s="37"/>
      <c r="S8" s="37"/>
      <c r="T8" s="37"/>
      <c r="U8" s="37"/>
      <c r="V8" s="230"/>
      <c r="W8" s="37"/>
      <c r="X8" s="37"/>
      <c r="Y8" s="41"/>
      <c r="Z8" s="41"/>
      <c r="AA8" s="41"/>
    </row>
    <row r="9" spans="2:27" ht="22.5" customHeight="1" x14ac:dyDescent="0.25">
      <c r="B9" s="51" t="s">
        <v>3</v>
      </c>
      <c r="C9" s="247">
        <f>FGP!F11</f>
        <v>3.1589687142796663</v>
      </c>
      <c r="D9" s="50">
        <f>C9*60%</f>
        <v>1.8953812285677998</v>
      </c>
      <c r="E9" s="7">
        <f>C9*$E$29/100</f>
        <v>154051.03184330044</v>
      </c>
      <c r="F9" s="247">
        <f>FGP!L11</f>
        <v>3.9702722966484543</v>
      </c>
      <c r="G9" s="50">
        <f>F9*30%</f>
        <v>1.1910816889945361</v>
      </c>
      <c r="H9" s="7">
        <f>F9*$H$29/100</f>
        <v>96807.625841854868</v>
      </c>
      <c r="I9" s="247">
        <f>FGP!R11</f>
        <v>4.6874668574217839</v>
      </c>
      <c r="J9" s="50">
        <f>I9*10%</f>
        <v>0.46874668574217843</v>
      </c>
      <c r="K9" s="89">
        <f>I9*$K$29/100</f>
        <v>38098.371251735611</v>
      </c>
      <c r="L9" s="244">
        <f>E9+H9+K9</f>
        <v>288957.02893689094</v>
      </c>
      <c r="M9" s="68"/>
      <c r="N9" s="13">
        <f>D9+G9+J9</f>
        <v>3.5552096033045144</v>
      </c>
      <c r="O9" s="14"/>
      <c r="P9" s="47" t="e">
        <f>#REF!*N9%*22.5%</f>
        <v>#REF!</v>
      </c>
      <c r="Q9" s="12"/>
      <c r="R9" s="6"/>
      <c r="S9" s="14"/>
      <c r="T9" s="7"/>
      <c r="U9" s="7"/>
      <c r="V9" s="14"/>
      <c r="W9" s="32"/>
      <c r="X9" s="42"/>
      <c r="Y9" s="43"/>
      <c r="Z9" s="41"/>
      <c r="AA9" s="41"/>
    </row>
    <row r="10" spans="2:27" ht="22.5" customHeight="1" x14ac:dyDescent="0.25">
      <c r="B10" s="51" t="s">
        <v>4</v>
      </c>
      <c r="C10" s="247">
        <f>FGP!F12</f>
        <v>1.3507472164599297</v>
      </c>
      <c r="D10" s="50">
        <f t="shared" ref="D10:D29" si="0">C10*60%</f>
        <v>0.81044832987595783</v>
      </c>
      <c r="E10" s="7">
        <f t="shared" ref="E10:E28" si="1">C10*$E$29/100</f>
        <v>65870.865233487159</v>
      </c>
      <c r="F10" s="247">
        <f>FGP!L12</f>
        <v>4.4656428282147838</v>
      </c>
      <c r="G10" s="50">
        <f t="shared" ref="G10:G29" si="2">F10*30%</f>
        <v>1.339692848464435</v>
      </c>
      <c r="H10" s="7">
        <f t="shared" ref="H10:H28" si="3">F10*$H$29/100</f>
        <v>108886.30495750046</v>
      </c>
      <c r="I10" s="247">
        <f>FGP!R12</f>
        <v>6.7287175272378263</v>
      </c>
      <c r="J10" s="50">
        <f t="shared" ref="J10:J29" si="4">I10*10%</f>
        <v>0.67287175272378263</v>
      </c>
      <c r="K10" s="89">
        <f t="shared" ref="K10:K28" si="5">I10*$K$29/100</f>
        <v>54689.06473330615</v>
      </c>
      <c r="L10" s="244">
        <f t="shared" ref="L10:L28" si="6">E10+H10+K10</f>
        <v>229446.23492429376</v>
      </c>
      <c r="M10" s="50"/>
      <c r="N10" s="9">
        <f t="shared" ref="N10:N29" si="7">D10+G10+J10</f>
        <v>2.8230129310641754</v>
      </c>
      <c r="O10" s="9"/>
      <c r="P10" s="47" t="e">
        <f>#REF!*N10%*22.5%</f>
        <v>#REF!</v>
      </c>
      <c r="Q10" s="12"/>
      <c r="R10" s="6"/>
      <c r="S10" s="14"/>
      <c r="T10" s="20"/>
      <c r="U10" s="7"/>
      <c r="V10" s="14"/>
      <c r="W10" s="32"/>
      <c r="X10" s="42"/>
      <c r="Y10" s="43"/>
      <c r="Z10" s="41"/>
      <c r="AA10" s="41"/>
    </row>
    <row r="11" spans="2:27" ht="22.5" customHeight="1" x14ac:dyDescent="0.25">
      <c r="B11" s="51" t="s">
        <v>5</v>
      </c>
      <c r="C11" s="247">
        <f>FGP!F13</f>
        <v>1.0034291520257399</v>
      </c>
      <c r="D11" s="50">
        <f t="shared" si="0"/>
        <v>0.60205749121544394</v>
      </c>
      <c r="E11" s="7">
        <f t="shared" si="1"/>
        <v>48933.468556513275</v>
      </c>
      <c r="F11" s="247">
        <f>FGP!L13</f>
        <v>4.1805147724765668</v>
      </c>
      <c r="G11" s="50">
        <f t="shared" si="2"/>
        <v>1.25415443174297</v>
      </c>
      <c r="H11" s="7">
        <f t="shared" si="3"/>
        <v>101933.99335906882</v>
      </c>
      <c r="I11" s="247">
        <f>FGP!R13</f>
        <v>7.7942030507358862</v>
      </c>
      <c r="J11" s="50">
        <f t="shared" si="4"/>
        <v>0.77942030507358862</v>
      </c>
      <c r="K11" s="89">
        <f t="shared" si="5"/>
        <v>63349.022077496571</v>
      </c>
      <c r="L11" s="244">
        <f t="shared" si="6"/>
        <v>214216.48399307867</v>
      </c>
      <c r="M11" s="50"/>
      <c r="N11" s="9">
        <f t="shared" si="7"/>
        <v>2.6356322280320024</v>
      </c>
      <c r="O11" s="9"/>
      <c r="P11" s="47" t="e">
        <f>#REF!*N11%*22.5%</f>
        <v>#REF!</v>
      </c>
      <c r="Q11" s="12"/>
      <c r="R11" s="6"/>
      <c r="S11" s="14"/>
      <c r="T11" s="7"/>
      <c r="U11" s="7"/>
      <c r="V11" s="14"/>
      <c r="W11" s="32"/>
      <c r="X11" s="42"/>
      <c r="Y11" s="43"/>
      <c r="Z11" s="41"/>
      <c r="AA11" s="41"/>
    </row>
    <row r="12" spans="2:27" ht="22.5" customHeight="1" x14ac:dyDescent="0.25">
      <c r="B12" s="51" t="s">
        <v>6</v>
      </c>
      <c r="C12" s="247">
        <f>FGP!F14</f>
        <v>12.721730663392744</v>
      </c>
      <c r="D12" s="50">
        <f t="shared" si="0"/>
        <v>7.6330383980356462</v>
      </c>
      <c r="E12" s="7">
        <f t="shared" si="1"/>
        <v>620390.99237331189</v>
      </c>
      <c r="F12" s="247">
        <f>FGP!L14</f>
        <v>5.0404570553471801</v>
      </c>
      <c r="G12" s="50">
        <f t="shared" si="2"/>
        <v>1.512137116604154</v>
      </c>
      <c r="H12" s="7">
        <f t="shared" si="3"/>
        <v>122902.06923537694</v>
      </c>
      <c r="I12" s="247">
        <f>FGP!R14</f>
        <v>1.5820027302455366</v>
      </c>
      <c r="J12" s="50">
        <f t="shared" si="4"/>
        <v>0.15820027302455367</v>
      </c>
      <c r="K12" s="89">
        <f t="shared" si="5"/>
        <v>12858.059410643949</v>
      </c>
      <c r="L12" s="244">
        <f t="shared" si="6"/>
        <v>756151.12101933279</v>
      </c>
      <c r="M12" s="50"/>
      <c r="N12" s="9">
        <f t="shared" si="7"/>
        <v>9.3033757876643524</v>
      </c>
      <c r="O12" s="9"/>
      <c r="P12" s="47" t="e">
        <f>#REF!*N12%*22.5%</f>
        <v>#REF!</v>
      </c>
      <c r="Q12" s="12"/>
      <c r="R12" s="6"/>
      <c r="S12" s="14"/>
      <c r="T12" s="7"/>
      <c r="U12" s="7"/>
      <c r="V12" s="14"/>
      <c r="W12" s="32"/>
      <c r="X12" s="42"/>
      <c r="Y12" s="43"/>
      <c r="Z12" s="41"/>
      <c r="AA12" s="41"/>
    </row>
    <row r="13" spans="2:27" ht="22.5" customHeight="1" x14ac:dyDescent="0.25">
      <c r="B13" s="51" t="s">
        <v>7</v>
      </c>
      <c r="C13" s="247">
        <f>FGP!F15</f>
        <v>6.3943101477498834</v>
      </c>
      <c r="D13" s="50">
        <f t="shared" si="0"/>
        <v>3.8365860886499297</v>
      </c>
      <c r="E13" s="7">
        <f t="shared" si="1"/>
        <v>311826.47416993353</v>
      </c>
      <c r="F13" s="247">
        <f>FGP!L15</f>
        <v>2.4418785556736839</v>
      </c>
      <c r="G13" s="50">
        <f t="shared" si="2"/>
        <v>0.73256356670210521</v>
      </c>
      <c r="H13" s="7">
        <f t="shared" si="3"/>
        <v>59540.617848418115</v>
      </c>
      <c r="I13" s="247">
        <f>FGP!R15</f>
        <v>3.1663862477754878</v>
      </c>
      <c r="J13" s="50">
        <f t="shared" si="4"/>
        <v>0.31663862477754878</v>
      </c>
      <c r="K13" s="89">
        <f t="shared" si="5"/>
        <v>25735.469169907308</v>
      </c>
      <c r="L13" s="244">
        <f t="shared" si="6"/>
        <v>397102.56118825899</v>
      </c>
      <c r="M13" s="50"/>
      <c r="N13" s="9">
        <f t="shared" si="7"/>
        <v>4.8857882801295842</v>
      </c>
      <c r="O13" s="9"/>
      <c r="P13" s="47" t="e">
        <f>#REF!*N13%*22.5%</f>
        <v>#REF!</v>
      </c>
      <c r="Q13" s="12"/>
      <c r="R13" s="6"/>
      <c r="S13" s="14"/>
      <c r="T13" s="7"/>
      <c r="U13" s="7"/>
      <c r="V13" s="14"/>
      <c r="W13" s="32"/>
      <c r="X13" s="42"/>
      <c r="Y13" s="43"/>
      <c r="Z13" s="41"/>
      <c r="AA13" s="41"/>
    </row>
    <row r="14" spans="2:27" ht="22.5" customHeight="1" x14ac:dyDescent="0.25">
      <c r="B14" s="51" t="s">
        <v>8</v>
      </c>
      <c r="C14" s="247">
        <f>FGP!F16</f>
        <v>3.5996782524025233</v>
      </c>
      <c r="D14" s="50">
        <f t="shared" si="0"/>
        <v>2.1598069514415137</v>
      </c>
      <c r="E14" s="7">
        <f t="shared" si="1"/>
        <v>175542.77969889506</v>
      </c>
      <c r="F14" s="247">
        <f>FGP!L16</f>
        <v>20.725077676818788</v>
      </c>
      <c r="G14" s="50">
        <f t="shared" si="2"/>
        <v>6.2175233030456365</v>
      </c>
      <c r="H14" s="7">
        <f t="shared" si="3"/>
        <v>505342.05600319372</v>
      </c>
      <c r="I14" s="247">
        <f>FGP!R16</f>
        <v>1.7270051667099389</v>
      </c>
      <c r="J14" s="50">
        <f t="shared" si="4"/>
        <v>0.1727005166709939</v>
      </c>
      <c r="K14" s="89">
        <f t="shared" si="5"/>
        <v>14036.597163520037</v>
      </c>
      <c r="L14" s="244">
        <f t="shared" si="6"/>
        <v>694921.43286560883</v>
      </c>
      <c r="M14" s="50"/>
      <c r="N14" s="9">
        <f t="shared" si="7"/>
        <v>8.5500307711581449</v>
      </c>
      <c r="O14" s="9"/>
      <c r="P14" s="47" t="e">
        <f>#REF!*N14%*22.5%</f>
        <v>#REF!</v>
      </c>
      <c r="Q14" s="12"/>
      <c r="R14" s="6"/>
      <c r="S14" s="14"/>
      <c r="T14" s="7"/>
      <c r="U14" s="7"/>
      <c r="V14" s="14"/>
      <c r="W14" s="32"/>
      <c r="X14" s="42"/>
      <c r="Y14" s="43"/>
      <c r="Z14" s="41"/>
      <c r="AA14" s="41"/>
    </row>
    <row r="15" spans="2:27" ht="22.5" customHeight="1" x14ac:dyDescent="0.25">
      <c r="B15" s="51" t="s">
        <v>9</v>
      </c>
      <c r="C15" s="247">
        <f>FGP!F17</f>
        <v>1.0680326827822699</v>
      </c>
      <c r="D15" s="50">
        <f t="shared" si="0"/>
        <v>0.64081960966936191</v>
      </c>
      <c r="E15" s="7">
        <f t="shared" si="1"/>
        <v>52083.939952059605</v>
      </c>
      <c r="F15" s="247">
        <f>FGP!L17</f>
        <v>3.1103164311444003</v>
      </c>
      <c r="G15" s="50">
        <f t="shared" si="2"/>
        <v>0.93309492934332006</v>
      </c>
      <c r="H15" s="7">
        <f t="shared" si="3"/>
        <v>75839.218778565642</v>
      </c>
      <c r="I15" s="247">
        <f>FGP!R17</f>
        <v>9.192171667599176</v>
      </c>
      <c r="J15" s="50">
        <f t="shared" si="4"/>
        <v>0.9192171667599176</v>
      </c>
      <c r="K15" s="89">
        <f t="shared" si="5"/>
        <v>74711.305584462505</v>
      </c>
      <c r="L15" s="244">
        <f t="shared" si="6"/>
        <v>202634.46431508777</v>
      </c>
      <c r="M15" s="50"/>
      <c r="N15" s="9">
        <f t="shared" si="7"/>
        <v>2.4931317057725995</v>
      </c>
      <c r="O15" s="9"/>
      <c r="P15" s="47" t="e">
        <f>#REF!*N15%*22.5%</f>
        <v>#REF!</v>
      </c>
      <c r="Q15" s="12"/>
      <c r="R15" s="6"/>
      <c r="S15" s="14"/>
      <c r="T15" s="7"/>
      <c r="U15" s="7"/>
      <c r="V15" s="14"/>
      <c r="W15" s="32"/>
      <c r="X15" s="42"/>
      <c r="Y15" s="43"/>
      <c r="Z15" s="41"/>
      <c r="AA15" s="41"/>
    </row>
    <row r="16" spans="2:27" ht="22.5" customHeight="1" x14ac:dyDescent="0.25">
      <c r="B16" s="51" t="s">
        <v>10</v>
      </c>
      <c r="C16" s="247">
        <f>FGP!F18</f>
        <v>2.4906650861521529</v>
      </c>
      <c r="D16" s="50">
        <f t="shared" si="0"/>
        <v>1.4943990516912917</v>
      </c>
      <c r="E16" s="7">
        <f t="shared" si="1"/>
        <v>121460.37558504721</v>
      </c>
      <c r="F16" s="247">
        <f>FGP!L18</f>
        <v>6.2985795916584042</v>
      </c>
      <c r="G16" s="50">
        <f t="shared" si="2"/>
        <v>1.8895738774975213</v>
      </c>
      <c r="H16" s="7">
        <f t="shared" si="3"/>
        <v>153579.02201295787</v>
      </c>
      <c r="I16" s="247">
        <f>FGP!R18</f>
        <v>4.2753570833685446</v>
      </c>
      <c r="J16" s="50">
        <f t="shared" si="4"/>
        <v>0.4275357083368545</v>
      </c>
      <c r="K16" s="89">
        <f t="shared" si="5"/>
        <v>34748.862520065355</v>
      </c>
      <c r="L16" s="244">
        <f t="shared" si="6"/>
        <v>309788.26011807041</v>
      </c>
      <c r="M16" s="50"/>
      <c r="N16" s="9">
        <f t="shared" si="7"/>
        <v>3.8115086375256677</v>
      </c>
      <c r="O16" s="9"/>
      <c r="P16" s="47" t="e">
        <f>#REF!*N16%*22.5%</f>
        <v>#REF!</v>
      </c>
      <c r="Q16" s="12"/>
      <c r="R16" s="6"/>
      <c r="S16" s="14"/>
      <c r="T16" s="7"/>
      <c r="U16" s="7"/>
      <c r="V16" s="14"/>
      <c r="W16" s="32"/>
      <c r="X16" s="42"/>
      <c r="Y16" s="43"/>
      <c r="Z16" s="41"/>
      <c r="AA16" s="41"/>
    </row>
    <row r="17" spans="2:27" ht="22.5" customHeight="1" x14ac:dyDescent="0.25">
      <c r="B17" s="51" t="s">
        <v>11</v>
      </c>
      <c r="C17" s="247">
        <f>FGP!F19</f>
        <v>1.5731764108208799</v>
      </c>
      <c r="D17" s="50">
        <f t="shared" si="0"/>
        <v>0.94390584649252784</v>
      </c>
      <c r="E17" s="7">
        <f t="shared" si="1"/>
        <v>76717.901086829515</v>
      </c>
      <c r="F17" s="247">
        <f>FGP!L19</f>
        <v>5.3863955131128405</v>
      </c>
      <c r="G17" s="50">
        <f t="shared" si="2"/>
        <v>1.6159186539338521</v>
      </c>
      <c r="H17" s="7">
        <f t="shared" si="3"/>
        <v>131337.12816369196</v>
      </c>
      <c r="I17" s="247">
        <f>FGP!R19</f>
        <v>5.6518298931528186</v>
      </c>
      <c r="J17" s="50">
        <f t="shared" si="4"/>
        <v>0.56518298931528188</v>
      </c>
      <c r="K17" s="89">
        <f t="shared" si="5"/>
        <v>45936.434340877095</v>
      </c>
      <c r="L17" s="244">
        <f t="shared" si="6"/>
        <v>253991.46359139855</v>
      </c>
      <c r="M17" s="50"/>
      <c r="N17" s="9">
        <f t="shared" si="7"/>
        <v>3.125007489741662</v>
      </c>
      <c r="O17" s="9"/>
      <c r="P17" s="47" t="e">
        <f>#REF!*N17%*22.5%</f>
        <v>#REF!</v>
      </c>
      <c r="Q17" s="12"/>
      <c r="R17" s="6"/>
      <c r="S17" s="14"/>
      <c r="T17" s="7"/>
      <c r="U17" s="7"/>
      <c r="V17" s="14"/>
      <c r="W17" s="32"/>
      <c r="X17" s="42"/>
      <c r="Y17" s="43"/>
      <c r="Z17" s="41"/>
      <c r="AA17" s="41"/>
    </row>
    <row r="18" spans="2:27" ht="22.5" customHeight="1" x14ac:dyDescent="0.25">
      <c r="B18" s="51" t="s">
        <v>12</v>
      </c>
      <c r="C18" s="247">
        <f>FGP!F20</f>
        <v>1.212057067863342</v>
      </c>
      <c r="D18" s="50">
        <f t="shared" si="0"/>
        <v>0.72723424071800513</v>
      </c>
      <c r="E18" s="7">
        <f t="shared" si="1"/>
        <v>59107.467925617035</v>
      </c>
      <c r="F18" s="247">
        <f>FGP!L20</f>
        <v>4.3367980724303692</v>
      </c>
      <c r="G18" s="50">
        <f t="shared" si="2"/>
        <v>1.3010394217291108</v>
      </c>
      <c r="H18" s="7">
        <f t="shared" si="3"/>
        <v>105744.66781583839</v>
      </c>
      <c r="I18" s="247">
        <f>FGP!R20</f>
        <v>7.1330081835601495</v>
      </c>
      <c r="J18" s="50">
        <f t="shared" si="4"/>
        <v>0.713300818356015</v>
      </c>
      <c r="K18" s="89">
        <f t="shared" si="5"/>
        <v>57975.021943603664</v>
      </c>
      <c r="L18" s="244">
        <f t="shared" si="6"/>
        <v>222827.15768505909</v>
      </c>
      <c r="M18" s="50"/>
      <c r="N18" s="9">
        <f t="shared" si="7"/>
        <v>2.7415744808031306</v>
      </c>
      <c r="O18" s="9"/>
      <c r="P18" s="47" t="e">
        <f>#REF!*N18%*22.5%</f>
        <v>#REF!</v>
      </c>
      <c r="Q18" s="12"/>
      <c r="R18" s="6"/>
      <c r="S18" s="14"/>
      <c r="T18" s="7"/>
      <c r="U18" s="7"/>
      <c r="V18" s="14"/>
      <c r="W18" s="32"/>
      <c r="X18" s="42"/>
      <c r="Y18" s="43"/>
      <c r="Z18" s="41"/>
      <c r="AA18" s="41"/>
    </row>
    <row r="19" spans="2:27" ht="22.5" customHeight="1" x14ac:dyDescent="0.25">
      <c r="B19" s="51" t="s">
        <v>13</v>
      </c>
      <c r="C19" s="247">
        <f>FGP!F21</f>
        <v>2.8704119215951907</v>
      </c>
      <c r="D19" s="50">
        <f t="shared" si="0"/>
        <v>1.7222471529571144</v>
      </c>
      <c r="E19" s="7">
        <f t="shared" si="1"/>
        <v>139979.2015470725</v>
      </c>
      <c r="F19" s="247">
        <f>FGP!L21</f>
        <v>3.4973114037381472</v>
      </c>
      <c r="G19" s="50">
        <f t="shared" si="2"/>
        <v>1.0491934211214442</v>
      </c>
      <c r="H19" s="7">
        <f t="shared" si="3"/>
        <v>85275.363634715701</v>
      </c>
      <c r="I19" s="247">
        <f>FGP!R21</f>
        <v>5.220278857158962</v>
      </c>
      <c r="J19" s="50">
        <f t="shared" si="4"/>
        <v>0.5220278857158962</v>
      </c>
      <c r="K19" s="89">
        <f t="shared" si="5"/>
        <v>42428.912670119469</v>
      </c>
      <c r="L19" s="244">
        <f t="shared" si="6"/>
        <v>267683.47785190766</v>
      </c>
      <c r="M19" s="50"/>
      <c r="N19" s="9">
        <f t="shared" si="7"/>
        <v>3.2934684597944548</v>
      </c>
      <c r="O19" s="9"/>
      <c r="P19" s="47" t="e">
        <f>#REF!*N19%*22.5%</f>
        <v>#REF!</v>
      </c>
      <c r="Q19" s="12"/>
      <c r="R19" s="6"/>
      <c r="S19" s="14"/>
      <c r="T19" s="7"/>
      <c r="U19" s="7"/>
      <c r="V19" s="14"/>
      <c r="W19" s="32"/>
      <c r="X19" s="42"/>
      <c r="Y19" s="43"/>
      <c r="Z19" s="41"/>
      <c r="AA19" s="41"/>
    </row>
    <row r="20" spans="2:27" ht="22.5" customHeight="1" x14ac:dyDescent="0.25">
      <c r="B20" s="51" t="s">
        <v>14</v>
      </c>
      <c r="C20" s="247">
        <f>FGP!F22</f>
        <v>2.0950002116760511</v>
      </c>
      <c r="D20" s="50">
        <f t="shared" si="0"/>
        <v>1.2570001270056306</v>
      </c>
      <c r="E20" s="7">
        <f t="shared" si="1"/>
        <v>102165.28668414547</v>
      </c>
      <c r="F20" s="247">
        <f>FGP!L22</f>
        <v>1.2571042496087079</v>
      </c>
      <c r="G20" s="50">
        <f t="shared" si="2"/>
        <v>0.37713127488261239</v>
      </c>
      <c r="H20" s="7">
        <f t="shared" si="3"/>
        <v>30652.123770719078</v>
      </c>
      <c r="I20" s="247">
        <f>FGP!R22</f>
        <v>8.8534450877189812</v>
      </c>
      <c r="J20" s="50">
        <f t="shared" si="4"/>
        <v>0.88534450877189819</v>
      </c>
      <c r="K20" s="89">
        <f t="shared" si="5"/>
        <v>71958.23417390445</v>
      </c>
      <c r="L20" s="244">
        <f t="shared" si="6"/>
        <v>204775.64462876902</v>
      </c>
      <c r="M20" s="50"/>
      <c r="N20" s="9">
        <f t="shared" si="7"/>
        <v>2.519475910660141</v>
      </c>
      <c r="O20" s="9"/>
      <c r="P20" s="47" t="e">
        <f>#REF!*N20%*22.5%</f>
        <v>#REF!</v>
      </c>
      <c r="Q20" s="12"/>
      <c r="R20" s="6"/>
      <c r="S20" s="14"/>
      <c r="T20" s="7"/>
      <c r="U20" s="7"/>
      <c r="V20" s="14"/>
      <c r="W20" s="32"/>
      <c r="X20" s="42"/>
      <c r="Y20" s="43"/>
      <c r="Z20" s="41"/>
      <c r="AA20" s="41"/>
    </row>
    <row r="21" spans="2:27" ht="22.5" customHeight="1" x14ac:dyDescent="0.25">
      <c r="B21" s="51" t="s">
        <v>15</v>
      </c>
      <c r="C21" s="247">
        <f>FGP!F23</f>
        <v>3.7237204182718768</v>
      </c>
      <c r="D21" s="50">
        <f t="shared" si="0"/>
        <v>2.2342322509631258</v>
      </c>
      <c r="E21" s="7">
        <f t="shared" si="1"/>
        <v>181591.84994067144</v>
      </c>
      <c r="F21" s="247">
        <f>FGP!L23</f>
        <v>3.7448845211114654</v>
      </c>
      <c r="G21" s="50">
        <f t="shared" si="2"/>
        <v>1.1234653563334396</v>
      </c>
      <c r="H21" s="7">
        <f t="shared" si="3"/>
        <v>91311.968664403394</v>
      </c>
      <c r="I21" s="247">
        <f>FGP!R23</f>
        <v>4.3088134563682132</v>
      </c>
      <c r="J21" s="50">
        <f t="shared" si="4"/>
        <v>0.43088134563682134</v>
      </c>
      <c r="K21" s="89">
        <f t="shared" si="5"/>
        <v>35020.786217458488</v>
      </c>
      <c r="L21" s="244">
        <f t="shared" si="6"/>
        <v>307924.60482253332</v>
      </c>
      <c r="M21" s="50"/>
      <c r="N21" s="9">
        <f t="shared" si="7"/>
        <v>3.7885789529333866</v>
      </c>
      <c r="O21" s="9"/>
      <c r="P21" s="47" t="e">
        <f>#REF!*N21%*22.5%</f>
        <v>#REF!</v>
      </c>
      <c r="Q21" s="12"/>
      <c r="R21" s="6"/>
      <c r="S21" s="14"/>
      <c r="T21" s="7"/>
      <c r="U21" s="7"/>
      <c r="V21" s="14"/>
      <c r="W21" s="32"/>
      <c r="X21" s="42"/>
      <c r="Y21" s="43"/>
      <c r="Z21" s="41"/>
      <c r="AA21" s="41"/>
    </row>
    <row r="22" spans="2:27" ht="22.5" customHeight="1" x14ac:dyDescent="0.25">
      <c r="B22" s="51" t="s">
        <v>16</v>
      </c>
      <c r="C22" s="247">
        <f>FGP!F24</f>
        <v>0.63494348249439059</v>
      </c>
      <c r="D22" s="50">
        <f t="shared" si="0"/>
        <v>0.38096608949663435</v>
      </c>
      <c r="E22" s="7">
        <f t="shared" si="1"/>
        <v>30963.80733316117</v>
      </c>
      <c r="F22" s="247">
        <f>FGP!L24</f>
        <v>3.8940441906995584</v>
      </c>
      <c r="G22" s="50">
        <f t="shared" si="2"/>
        <v>1.1682132572098676</v>
      </c>
      <c r="H22" s="7">
        <f t="shared" si="3"/>
        <v>94948.946787130219</v>
      </c>
      <c r="I22" s="247">
        <f>FGP!R24</f>
        <v>9.3389397835005834</v>
      </c>
      <c r="J22" s="50">
        <f t="shared" si="4"/>
        <v>0.93389397835005838</v>
      </c>
      <c r="K22" s="89">
        <f t="shared" si="5"/>
        <v>75904.19426775552</v>
      </c>
      <c r="L22" s="244">
        <f t="shared" si="6"/>
        <v>201816.94838804691</v>
      </c>
      <c r="M22" s="50"/>
      <c r="N22" s="9">
        <f t="shared" si="7"/>
        <v>2.4830733250565604</v>
      </c>
      <c r="O22" s="9"/>
      <c r="P22" s="47" t="e">
        <f>#REF!*N22%*22.5%</f>
        <v>#REF!</v>
      </c>
      <c r="Q22" s="12"/>
      <c r="R22" s="6"/>
      <c r="S22" s="14"/>
      <c r="T22" s="7"/>
      <c r="U22" s="7"/>
      <c r="V22" s="14"/>
      <c r="W22" s="32"/>
      <c r="X22" s="42"/>
      <c r="Y22" s="43"/>
      <c r="Z22" s="41"/>
      <c r="AA22" s="41"/>
    </row>
    <row r="23" spans="2:27" ht="22.5" customHeight="1" x14ac:dyDescent="0.25">
      <c r="B23" s="51" t="s">
        <v>17</v>
      </c>
      <c r="C23" s="247">
        <f>FGP!F25</f>
        <v>1.9878074594640365</v>
      </c>
      <c r="D23" s="50">
        <f t="shared" si="0"/>
        <v>1.1926844756784218</v>
      </c>
      <c r="E23" s="7">
        <f t="shared" si="1"/>
        <v>96937.899021286139</v>
      </c>
      <c r="F23" s="247">
        <f>FGP!L25</f>
        <v>6.9268644618055912</v>
      </c>
      <c r="G23" s="50">
        <f t="shared" si="2"/>
        <v>2.0780593385416775</v>
      </c>
      <c r="H23" s="7">
        <f t="shared" si="3"/>
        <v>168898.56739594112</v>
      </c>
      <c r="I23" s="247">
        <f>FGP!R25</f>
        <v>4.4233646700894491</v>
      </c>
      <c r="J23" s="50">
        <f t="shared" si="4"/>
        <v>0.44233646700894491</v>
      </c>
      <c r="K23" s="89">
        <f t="shared" si="5"/>
        <v>35951.825262732717</v>
      </c>
      <c r="L23" s="244">
        <f t="shared" si="6"/>
        <v>301788.29167995998</v>
      </c>
      <c r="M23" s="50"/>
      <c r="N23" s="9">
        <f t="shared" si="7"/>
        <v>3.7130802812290442</v>
      </c>
      <c r="O23" s="9"/>
      <c r="P23" s="47" t="e">
        <f>#REF!*N23%*22.5%</f>
        <v>#REF!</v>
      </c>
      <c r="Q23" s="12"/>
      <c r="R23" s="6"/>
      <c r="S23" s="14"/>
      <c r="T23" s="7"/>
      <c r="U23" s="7"/>
      <c r="V23" s="14"/>
      <c r="W23" s="32"/>
      <c r="X23" s="42"/>
      <c r="Y23" s="43"/>
      <c r="Z23" s="41"/>
      <c r="AA23" s="41"/>
    </row>
    <row r="24" spans="2:27" ht="22.5" customHeight="1" x14ac:dyDescent="0.25">
      <c r="B24" s="51" t="s">
        <v>23</v>
      </c>
      <c r="C24" s="247">
        <f>FGP!F26</f>
        <v>8.2824605224164927</v>
      </c>
      <c r="D24" s="50">
        <f t="shared" si="0"/>
        <v>4.9694763134498956</v>
      </c>
      <c r="E24" s="7">
        <f t="shared" si="1"/>
        <v>403904.47170687094</v>
      </c>
      <c r="F24" s="247">
        <f>FGP!L26</f>
        <v>4.9454727128511768</v>
      </c>
      <c r="G24" s="50">
        <f t="shared" si="2"/>
        <v>1.4836418138553531</v>
      </c>
      <c r="H24" s="7">
        <f t="shared" si="3"/>
        <v>120586.05461417578</v>
      </c>
      <c r="I24" s="247">
        <f>FGP!R26</f>
        <v>2.2419692848201964</v>
      </c>
      <c r="J24" s="50">
        <f t="shared" si="4"/>
        <v>0.22419692848201966</v>
      </c>
      <c r="K24" s="89">
        <f t="shared" si="5"/>
        <v>18222.076175925959</v>
      </c>
      <c r="L24" s="244">
        <f t="shared" si="6"/>
        <v>542712.60249697266</v>
      </c>
      <c r="M24" s="50"/>
      <c r="N24" s="9">
        <f t="shared" si="7"/>
        <v>6.6773150557872682</v>
      </c>
      <c r="O24" s="9"/>
      <c r="P24" s="47" t="e">
        <f>#REF!*N24%*22.5%</f>
        <v>#REF!</v>
      </c>
      <c r="Q24" s="12"/>
      <c r="R24" s="6"/>
      <c r="S24" s="14"/>
      <c r="T24" s="7"/>
      <c r="U24" s="7"/>
      <c r="V24" s="14"/>
      <c r="W24" s="32"/>
      <c r="X24" s="42"/>
      <c r="Y24" s="43"/>
      <c r="Z24" s="41"/>
      <c r="AA24" s="41"/>
    </row>
    <row r="25" spans="2:27" ht="22.5" customHeight="1" x14ac:dyDescent="0.25">
      <c r="B25" s="51" t="s">
        <v>18</v>
      </c>
      <c r="C25" s="247">
        <f>FGP!F27</f>
        <v>3.3629397569958934</v>
      </c>
      <c r="D25" s="50">
        <f t="shared" si="0"/>
        <v>2.0177638541975358</v>
      </c>
      <c r="E25" s="7">
        <f t="shared" si="1"/>
        <v>163997.93301220101</v>
      </c>
      <c r="F25" s="247">
        <f>FGP!L27</f>
        <v>3.8202480246517254</v>
      </c>
      <c r="G25" s="50">
        <f t="shared" si="2"/>
        <v>1.1460744073955176</v>
      </c>
      <c r="H25" s="7">
        <f t="shared" si="3"/>
        <v>93149.566014845987</v>
      </c>
      <c r="I25" s="247">
        <f>FGP!R27</f>
        <v>4.5728294041965452</v>
      </c>
      <c r="J25" s="50">
        <f t="shared" si="4"/>
        <v>0.45728294041965456</v>
      </c>
      <c r="K25" s="89">
        <f t="shared" si="5"/>
        <v>37166.631276782304</v>
      </c>
      <c r="L25" s="244">
        <f t="shared" si="6"/>
        <v>294314.13030382933</v>
      </c>
      <c r="M25" s="50"/>
      <c r="N25" s="9">
        <f t="shared" si="7"/>
        <v>3.6211212020127075</v>
      </c>
      <c r="O25" s="9"/>
      <c r="P25" s="47" t="e">
        <f>#REF!*N25%*22.5%</f>
        <v>#REF!</v>
      </c>
      <c r="Q25" s="12"/>
      <c r="R25" s="6"/>
      <c r="S25" s="14"/>
      <c r="T25" s="7"/>
      <c r="U25" s="7"/>
      <c r="V25" s="14"/>
      <c r="W25" s="32"/>
      <c r="X25" s="42"/>
      <c r="Y25" s="43"/>
      <c r="Z25" s="41"/>
      <c r="AA25" s="41"/>
    </row>
    <row r="26" spans="2:27" ht="22.5" customHeight="1" x14ac:dyDescent="0.25">
      <c r="B26" s="51" t="s">
        <v>19</v>
      </c>
      <c r="C26" s="247">
        <f>FGP!F28</f>
        <v>35.020363236103471</v>
      </c>
      <c r="D26" s="50">
        <f t="shared" si="0"/>
        <v>21.012217941662083</v>
      </c>
      <c r="E26" s="7">
        <f t="shared" si="1"/>
        <v>1707811.4979936159</v>
      </c>
      <c r="F26" s="247">
        <f>FGP!L28</f>
        <v>3.2182239024250903</v>
      </c>
      <c r="G26" s="50">
        <f t="shared" si="2"/>
        <v>0.96546717072752708</v>
      </c>
      <c r="H26" s="7">
        <f t="shared" si="3"/>
        <v>78470.339599699262</v>
      </c>
      <c r="I26" s="247">
        <f>FGP!R28</f>
        <v>0.65829010465614668</v>
      </c>
      <c r="J26" s="50">
        <f t="shared" si="4"/>
        <v>6.5829010465614665E-2</v>
      </c>
      <c r="K26" s="89">
        <f t="shared" si="5"/>
        <v>5350.3910665148105</v>
      </c>
      <c r="L26" s="244">
        <f t="shared" si="6"/>
        <v>1791632.2286598301</v>
      </c>
      <c r="M26" s="50"/>
      <c r="N26" s="9">
        <f t="shared" si="7"/>
        <v>22.043514122855225</v>
      </c>
      <c r="O26" s="9"/>
      <c r="P26" s="47" t="e">
        <f>#REF!*N26%*22.5%</f>
        <v>#REF!</v>
      </c>
      <c r="Q26" s="12"/>
      <c r="R26" s="6"/>
      <c r="S26" s="14"/>
      <c r="T26" s="7"/>
      <c r="U26" s="7"/>
      <c r="V26" s="14"/>
      <c r="W26" s="32"/>
      <c r="X26" s="42"/>
      <c r="Y26" s="43"/>
      <c r="Z26" s="41"/>
      <c r="AA26" s="41"/>
    </row>
    <row r="27" spans="2:27" ht="22.5" customHeight="1" x14ac:dyDescent="0.25">
      <c r="B27" s="51" t="s">
        <v>20</v>
      </c>
      <c r="C27" s="247">
        <f>FGP!F29</f>
        <v>2.5879513991786967</v>
      </c>
      <c r="D27" s="50">
        <f t="shared" si="0"/>
        <v>1.5527708395072179</v>
      </c>
      <c r="E27" s="7">
        <f t="shared" si="1"/>
        <v>126204.6634402015</v>
      </c>
      <c r="F27" s="247">
        <f>FGP!L29</f>
        <v>4.4775825275255574</v>
      </c>
      <c r="G27" s="50">
        <f t="shared" si="2"/>
        <v>1.3432747582576672</v>
      </c>
      <c r="H27" s="7">
        <f t="shared" si="3"/>
        <v>109177.43207855897</v>
      </c>
      <c r="I27" s="247">
        <f>FGP!R29</f>
        <v>4.995671561214607</v>
      </c>
      <c r="J27" s="50">
        <f t="shared" si="4"/>
        <v>0.49956715612146074</v>
      </c>
      <c r="K27" s="89">
        <f t="shared" si="5"/>
        <v>40603.369704799574</v>
      </c>
      <c r="L27" s="244">
        <f t="shared" si="6"/>
        <v>275985.46522356005</v>
      </c>
      <c r="M27" s="50"/>
      <c r="N27" s="9">
        <f t="shared" si="7"/>
        <v>3.3956127538863461</v>
      </c>
      <c r="O27" s="9"/>
      <c r="P27" s="47" t="e">
        <f>#REF!*N27%*22.5%</f>
        <v>#REF!</v>
      </c>
      <c r="Q27" s="12"/>
      <c r="R27" s="6"/>
      <c r="S27" s="14"/>
      <c r="T27" s="7"/>
      <c r="U27" s="7"/>
      <c r="V27" s="14"/>
      <c r="W27" s="32"/>
      <c r="X27" s="42"/>
      <c r="Y27" s="43"/>
      <c r="Z27" s="41"/>
      <c r="AA27" s="41"/>
    </row>
    <row r="28" spans="2:27" ht="22.5" customHeight="1" thickBot="1" x14ac:dyDescent="0.3">
      <c r="B28" s="51" t="s">
        <v>21</v>
      </c>
      <c r="C28" s="247">
        <f>FGP!F30</f>
        <v>4.8616061978747727</v>
      </c>
      <c r="D28" s="50">
        <f t="shared" si="0"/>
        <v>2.9169637187248636</v>
      </c>
      <c r="E28" s="7">
        <f t="shared" si="1"/>
        <v>237082.26289577919</v>
      </c>
      <c r="F28" s="247">
        <f>FGP!L30</f>
        <v>4.2623312120575108</v>
      </c>
      <c r="G28" s="50">
        <f t="shared" si="2"/>
        <v>1.2786993636172532</v>
      </c>
      <c r="H28" s="7">
        <f t="shared" si="3"/>
        <v>103928.93342334373</v>
      </c>
      <c r="I28" s="247">
        <f>FGP!R30</f>
        <v>3.4482493824691449</v>
      </c>
      <c r="J28" s="50">
        <f t="shared" si="4"/>
        <v>0.34482493824691451</v>
      </c>
      <c r="K28" s="89">
        <f t="shared" si="5"/>
        <v>28026.370988388295</v>
      </c>
      <c r="L28" s="244">
        <f t="shared" si="6"/>
        <v>369037.56730751123</v>
      </c>
      <c r="M28" s="68"/>
      <c r="N28" s="14">
        <f t="shared" si="7"/>
        <v>4.5404880205890317</v>
      </c>
      <c r="O28" s="14"/>
      <c r="P28" s="47" t="e">
        <f>#REF!*N28%*22.5%</f>
        <v>#REF!</v>
      </c>
      <c r="Q28" s="12"/>
      <c r="R28" s="6"/>
      <c r="S28" s="14"/>
      <c r="T28" s="7"/>
      <c r="U28" s="7"/>
      <c r="V28" s="14"/>
      <c r="W28" s="32"/>
      <c r="X28" s="42"/>
      <c r="Y28" s="43"/>
      <c r="Z28" s="41"/>
      <c r="AA28" s="41"/>
    </row>
    <row r="29" spans="2:27" ht="15.75" thickBot="1" x14ac:dyDescent="0.3">
      <c r="B29" s="190" t="s">
        <v>22</v>
      </c>
      <c r="C29" s="467">
        <v>99.999999999999986</v>
      </c>
      <c r="D29" s="468">
        <f t="shared" si="0"/>
        <v>59.999999999999986</v>
      </c>
      <c r="E29" s="469">
        <v>4876624.17</v>
      </c>
      <c r="F29" s="467">
        <v>100.00000000000003</v>
      </c>
      <c r="G29" s="468">
        <f t="shared" si="2"/>
        <v>30.000000000000007</v>
      </c>
      <c r="H29" s="469">
        <v>2438312</v>
      </c>
      <c r="I29" s="467">
        <v>99.999999999999972</v>
      </c>
      <c r="J29" s="470">
        <f t="shared" si="4"/>
        <v>9.9999999999999982</v>
      </c>
      <c r="K29" s="469">
        <v>812771</v>
      </c>
      <c r="L29" s="469">
        <f>SUM(L9:L28)</f>
        <v>8127707.169999999</v>
      </c>
      <c r="M29" s="243"/>
      <c r="N29" s="21">
        <f t="shared" si="7"/>
        <v>100</v>
      </c>
      <c r="O29" s="21"/>
      <c r="P29" s="48" t="e">
        <f>SUM(P9:P28)</f>
        <v>#REF!</v>
      </c>
      <c r="Q29" s="44"/>
      <c r="R29" s="45"/>
      <c r="S29" s="38"/>
      <c r="T29" s="46"/>
      <c r="U29" s="46"/>
      <c r="V29" s="38"/>
      <c r="W29" s="31"/>
      <c r="X29" s="42"/>
      <c r="Y29" s="43"/>
      <c r="Z29" s="41"/>
      <c r="AA29" s="41"/>
    </row>
    <row r="30" spans="2:27" ht="25.5" customHeight="1" x14ac:dyDescent="0.25">
      <c r="B30" s="488" t="s">
        <v>265</v>
      </c>
      <c r="C30" s="1"/>
      <c r="D30" s="1"/>
      <c r="E30" s="239"/>
      <c r="F30" s="1"/>
      <c r="G30" s="1"/>
      <c r="H30" s="1"/>
      <c r="I30" s="1"/>
      <c r="J30" s="1"/>
      <c r="K30" s="1"/>
      <c r="L30" s="1"/>
      <c r="M30" s="1"/>
      <c r="N30" s="40"/>
      <c r="O30" s="40"/>
      <c r="P30" s="29"/>
      <c r="Q30" s="29"/>
      <c r="R30" s="14"/>
      <c r="S30" s="39"/>
      <c r="T30" s="39"/>
      <c r="U30" s="41"/>
      <c r="V30" s="41"/>
      <c r="W30" s="41"/>
      <c r="X30" s="41"/>
      <c r="Y30" s="41"/>
      <c r="Z30" s="41"/>
      <c r="AA30" s="41"/>
    </row>
    <row r="31" spans="2:27" ht="30.75" customHeight="1" x14ac:dyDescent="0.25">
      <c r="B31" s="738" t="s">
        <v>264</v>
      </c>
      <c r="C31" s="738"/>
      <c r="D31" s="738"/>
      <c r="E31" s="738"/>
      <c r="F31" s="738"/>
      <c r="G31" s="738"/>
      <c r="H31" s="738"/>
      <c r="I31" s="738"/>
      <c r="J31" s="738"/>
      <c r="K31" s="738"/>
      <c r="L31" s="738"/>
      <c r="M31" s="1"/>
      <c r="N31" s="1"/>
      <c r="O31" s="1"/>
      <c r="P31" s="33"/>
      <c r="Q31" s="1"/>
      <c r="R31" s="1"/>
      <c r="S31" s="2"/>
      <c r="T31" s="2"/>
    </row>
    <row r="32" spans="2:27" ht="30" customHeight="1" x14ac:dyDescent="0.25">
      <c r="B32" s="728" t="s">
        <v>279</v>
      </c>
      <c r="C32" s="728"/>
      <c r="D32" s="728"/>
      <c r="E32" s="728"/>
      <c r="F32" s="728"/>
      <c r="G32" s="728"/>
      <c r="H32" s="728"/>
      <c r="I32" s="728"/>
      <c r="J32" s="728"/>
      <c r="K32" s="728"/>
      <c r="L32" s="728"/>
    </row>
    <row r="36" spans="8:8" x14ac:dyDescent="0.25">
      <c r="H36" s="351"/>
    </row>
  </sheetData>
  <mergeCells count="10">
    <mergeCell ref="B31:L31"/>
    <mergeCell ref="B32:L32"/>
    <mergeCell ref="B3:L3"/>
    <mergeCell ref="B4:N4"/>
    <mergeCell ref="B5:B8"/>
    <mergeCell ref="Q5:R6"/>
    <mergeCell ref="L5:L8"/>
    <mergeCell ref="E5:E6"/>
    <mergeCell ref="H5:H6"/>
    <mergeCell ref="K5:K6"/>
  </mergeCells>
  <pageMargins left="0.70866141732283472" right="0.70866141732283472" top="0.74803149606299213" bottom="0.74803149606299213" header="0.31496062992125984" footer="0.31496062992125984"/>
  <pageSetup scale="7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9"/>
  <sheetViews>
    <sheetView workbookViewId="0">
      <selection activeCell="I40" sqref="I40"/>
    </sheetView>
  </sheetViews>
  <sheetFormatPr baseColWidth="10" defaultRowHeight="15" x14ac:dyDescent="0.25"/>
  <cols>
    <col min="2" max="2" width="22.85546875" bestFit="1" customWidth="1"/>
    <col min="3" max="8" width="14.5703125" customWidth="1"/>
  </cols>
  <sheetData>
    <row r="1" spans="2:8" ht="15.75" x14ac:dyDescent="0.25">
      <c r="B1" s="744" t="s">
        <v>180</v>
      </c>
      <c r="C1" s="744"/>
      <c r="D1" s="744"/>
      <c r="E1" s="744"/>
      <c r="F1" s="744"/>
      <c r="G1" s="744"/>
      <c r="H1" s="744"/>
    </row>
    <row r="2" spans="2:8" ht="15.75" x14ac:dyDescent="0.25">
      <c r="B2" s="744" t="s">
        <v>217</v>
      </c>
      <c r="C2" s="744"/>
      <c r="D2" s="744"/>
      <c r="E2" s="744"/>
      <c r="F2" s="744"/>
      <c r="G2" s="744"/>
      <c r="H2" s="744"/>
    </row>
    <row r="4" spans="2:8" x14ac:dyDescent="0.25">
      <c r="B4" s="743" t="s">
        <v>26</v>
      </c>
      <c r="C4" s="740">
        <v>2014</v>
      </c>
      <c r="D4" s="741"/>
      <c r="E4" s="742"/>
      <c r="F4" s="740">
        <v>2015</v>
      </c>
      <c r="G4" s="741"/>
      <c r="H4" s="742"/>
    </row>
    <row r="5" spans="2:8" x14ac:dyDescent="0.25">
      <c r="B5" s="743"/>
      <c r="C5" s="118" t="s">
        <v>27</v>
      </c>
      <c r="D5" s="118" t="s">
        <v>28</v>
      </c>
      <c r="E5" s="118" t="s">
        <v>29</v>
      </c>
      <c r="F5" s="118" t="s">
        <v>27</v>
      </c>
      <c r="G5" s="118" t="s">
        <v>28</v>
      </c>
      <c r="H5" s="118" t="s">
        <v>29</v>
      </c>
    </row>
    <row r="6" spans="2:8" ht="24" customHeight="1" x14ac:dyDescent="0.25">
      <c r="B6" s="111" t="s">
        <v>31</v>
      </c>
      <c r="C6" s="111">
        <v>1950494</v>
      </c>
      <c r="D6" s="111">
        <v>7890356</v>
      </c>
      <c r="E6" s="112">
        <f>SUM(C6:D6)</f>
        <v>9840850</v>
      </c>
      <c r="F6" s="111">
        <v>2477398</v>
      </c>
      <c r="G6" s="111">
        <v>7110081</v>
      </c>
      <c r="H6" s="112">
        <f>SUM(F6:G6)</f>
        <v>9587479</v>
      </c>
    </row>
    <row r="7" spans="2:8" ht="24" customHeight="1" x14ac:dyDescent="0.25">
      <c r="B7" s="111" t="s">
        <v>33</v>
      </c>
      <c r="C7" s="111">
        <v>1877264</v>
      </c>
      <c r="D7" s="111">
        <v>1913057</v>
      </c>
      <c r="E7" s="112">
        <f t="shared" ref="E7:E25" si="0">SUM(C7:D7)</f>
        <v>3790321</v>
      </c>
      <c r="F7" s="111">
        <v>2240417</v>
      </c>
      <c r="G7" s="111">
        <v>1913057</v>
      </c>
      <c r="H7" s="112">
        <f t="shared" ref="H7:H25" si="1">SUM(F7:G7)</f>
        <v>4153474</v>
      </c>
    </row>
    <row r="8" spans="2:8" ht="24" customHeight="1" x14ac:dyDescent="0.25">
      <c r="B8" s="111" t="s">
        <v>32</v>
      </c>
      <c r="C8" s="111">
        <v>1935203</v>
      </c>
      <c r="D8" s="111">
        <v>1753984</v>
      </c>
      <c r="E8" s="112">
        <f t="shared" si="0"/>
        <v>3689187</v>
      </c>
      <c r="F8" s="111">
        <v>2030546</v>
      </c>
      <c r="G8" s="111">
        <v>1753984</v>
      </c>
      <c r="H8" s="112">
        <f t="shared" si="1"/>
        <v>3784530</v>
      </c>
    </row>
    <row r="9" spans="2:8" ht="24" customHeight="1" x14ac:dyDescent="0.25">
      <c r="B9" s="111" t="s">
        <v>45</v>
      </c>
      <c r="C9" s="111">
        <v>98152406</v>
      </c>
      <c r="D9" s="111">
        <v>75184790.159999996</v>
      </c>
      <c r="E9" s="112">
        <f t="shared" si="0"/>
        <v>173337196.16</v>
      </c>
      <c r="F9" s="111">
        <v>124077659</v>
      </c>
      <c r="G9" s="111">
        <v>90316627</v>
      </c>
      <c r="H9" s="112">
        <f t="shared" si="1"/>
        <v>214394286</v>
      </c>
    </row>
    <row r="10" spans="2:8" ht="24" customHeight="1" x14ac:dyDescent="0.25">
      <c r="B10" s="111" t="s">
        <v>34</v>
      </c>
      <c r="C10" s="111">
        <v>15507321</v>
      </c>
      <c r="D10" s="111">
        <v>23101140</v>
      </c>
      <c r="E10" s="112">
        <f t="shared" si="0"/>
        <v>38608461</v>
      </c>
      <c r="F10" s="111">
        <v>13793249</v>
      </c>
      <c r="G10" s="111">
        <v>9341142</v>
      </c>
      <c r="H10" s="112">
        <f t="shared" si="1"/>
        <v>23134391</v>
      </c>
    </row>
    <row r="11" spans="2:8" ht="24" customHeight="1" x14ac:dyDescent="0.25">
      <c r="B11" s="111" t="s">
        <v>48</v>
      </c>
      <c r="C11" s="111">
        <v>12163</v>
      </c>
      <c r="D11" s="111">
        <v>44395</v>
      </c>
      <c r="E11" s="112">
        <f t="shared" si="0"/>
        <v>56558</v>
      </c>
      <c r="F11" s="111">
        <v>24800</v>
      </c>
      <c r="G11" s="111">
        <v>262835</v>
      </c>
      <c r="H11" s="112">
        <f t="shared" si="1"/>
        <v>287635</v>
      </c>
    </row>
    <row r="12" spans="2:8" ht="24" customHeight="1" x14ac:dyDescent="0.25">
      <c r="B12" s="111" t="s">
        <v>47</v>
      </c>
      <c r="C12" s="111">
        <v>13691</v>
      </c>
      <c r="D12" s="111">
        <v>68199</v>
      </c>
      <c r="E12" s="112">
        <f t="shared" si="0"/>
        <v>81890</v>
      </c>
      <c r="F12" s="111">
        <v>13729</v>
      </c>
      <c r="G12" s="111">
        <v>48772</v>
      </c>
      <c r="H12" s="112">
        <f t="shared" si="1"/>
        <v>62501</v>
      </c>
    </row>
    <row r="13" spans="2:8" ht="24" customHeight="1" x14ac:dyDescent="0.25">
      <c r="B13" s="111" t="s">
        <v>35</v>
      </c>
      <c r="C13" s="111">
        <v>4506594</v>
      </c>
      <c r="D13" s="111">
        <v>4804367</v>
      </c>
      <c r="E13" s="112">
        <f t="shared" si="0"/>
        <v>9310961</v>
      </c>
      <c r="F13" s="111">
        <v>9586556</v>
      </c>
      <c r="G13" s="111">
        <v>4804367</v>
      </c>
      <c r="H13" s="112">
        <f t="shared" si="1"/>
        <v>14390923</v>
      </c>
    </row>
    <row r="14" spans="2:8" ht="24" customHeight="1" x14ac:dyDescent="0.25">
      <c r="B14" s="111" t="s">
        <v>36</v>
      </c>
      <c r="C14" s="111">
        <v>1289975</v>
      </c>
      <c r="D14" s="111">
        <v>1892408</v>
      </c>
      <c r="E14" s="112">
        <f t="shared" si="0"/>
        <v>3182383</v>
      </c>
      <c r="F14" s="111">
        <v>1708915</v>
      </c>
      <c r="G14" s="111">
        <v>2497404</v>
      </c>
      <c r="H14" s="112">
        <f t="shared" si="1"/>
        <v>4206319</v>
      </c>
    </row>
    <row r="15" spans="2:8" ht="24" customHeight="1" x14ac:dyDescent="0.25">
      <c r="B15" s="111" t="s">
        <v>46</v>
      </c>
      <c r="C15" s="111">
        <v>443737</v>
      </c>
      <c r="D15" s="111">
        <v>138204</v>
      </c>
      <c r="E15" s="112">
        <f t="shared" si="0"/>
        <v>581941</v>
      </c>
      <c r="F15" s="111">
        <v>419998</v>
      </c>
      <c r="G15" s="111">
        <v>199300</v>
      </c>
      <c r="H15" s="112">
        <f t="shared" si="1"/>
        <v>619298</v>
      </c>
    </row>
    <row r="16" spans="2:8" ht="24" customHeight="1" x14ac:dyDescent="0.25">
      <c r="B16" s="111" t="s">
        <v>37</v>
      </c>
      <c r="C16" s="111">
        <v>1147352</v>
      </c>
      <c r="D16" s="111">
        <v>972752</v>
      </c>
      <c r="E16" s="112">
        <f t="shared" si="0"/>
        <v>2120104</v>
      </c>
      <c r="F16" s="111">
        <v>1144848</v>
      </c>
      <c r="G16" s="111">
        <v>674614</v>
      </c>
      <c r="H16" s="112">
        <f t="shared" si="1"/>
        <v>1819462</v>
      </c>
    </row>
    <row r="17" spans="2:8" ht="24" customHeight="1" x14ac:dyDescent="0.25">
      <c r="B17" s="111" t="s">
        <v>38</v>
      </c>
      <c r="C17" s="111">
        <v>398116</v>
      </c>
      <c r="D17" s="111">
        <v>5740941</v>
      </c>
      <c r="E17" s="112">
        <f t="shared" si="0"/>
        <v>6139057</v>
      </c>
      <c r="F17" s="111">
        <v>401966</v>
      </c>
      <c r="G17" s="111">
        <v>1491792</v>
      </c>
      <c r="H17" s="112">
        <f t="shared" si="1"/>
        <v>1893758</v>
      </c>
    </row>
    <row r="18" spans="2:8" ht="24" customHeight="1" x14ac:dyDescent="0.25">
      <c r="B18" s="111" t="s">
        <v>39</v>
      </c>
      <c r="C18" s="111">
        <v>2401077</v>
      </c>
      <c r="D18" s="111">
        <v>1952300</v>
      </c>
      <c r="E18" s="112">
        <f t="shared" si="0"/>
        <v>4353377</v>
      </c>
      <c r="F18" s="111">
        <v>2492004</v>
      </c>
      <c r="G18" s="111">
        <v>1508514</v>
      </c>
      <c r="H18" s="112">
        <f t="shared" si="1"/>
        <v>4000518</v>
      </c>
    </row>
    <row r="19" spans="2:8" ht="24" customHeight="1" x14ac:dyDescent="0.25">
      <c r="B19" s="111" t="s">
        <v>49</v>
      </c>
      <c r="C19" s="111">
        <v>820443</v>
      </c>
      <c r="D19" s="111">
        <v>455623</v>
      </c>
      <c r="E19" s="112">
        <f t="shared" si="0"/>
        <v>1276066</v>
      </c>
      <c r="F19" s="111">
        <v>779421</v>
      </c>
      <c r="G19" s="111">
        <v>439921</v>
      </c>
      <c r="H19" s="112">
        <f t="shared" si="1"/>
        <v>1219342</v>
      </c>
    </row>
    <row r="20" spans="2:8" ht="24" customHeight="1" x14ac:dyDescent="0.25">
      <c r="B20" s="111" t="s">
        <v>40</v>
      </c>
      <c r="C20" s="111">
        <v>1597920</v>
      </c>
      <c r="D20" s="111">
        <v>940466</v>
      </c>
      <c r="E20" s="112">
        <f t="shared" si="0"/>
        <v>2538386</v>
      </c>
      <c r="F20" s="111">
        <v>1947699</v>
      </c>
      <c r="G20" s="111">
        <v>2366954</v>
      </c>
      <c r="H20" s="112">
        <f t="shared" si="1"/>
        <v>4314653</v>
      </c>
    </row>
    <row r="21" spans="2:8" ht="24" customHeight="1" x14ac:dyDescent="0.25">
      <c r="B21" s="111" t="s">
        <v>41</v>
      </c>
      <c r="C21" s="111">
        <v>3479641</v>
      </c>
      <c r="D21" s="111">
        <v>9070244</v>
      </c>
      <c r="E21" s="112">
        <f t="shared" si="0"/>
        <v>12549885</v>
      </c>
      <c r="F21" s="111">
        <v>4175631</v>
      </c>
      <c r="G21" s="111">
        <v>11054340</v>
      </c>
      <c r="H21" s="112">
        <f t="shared" si="1"/>
        <v>15229971</v>
      </c>
    </row>
    <row r="22" spans="2:8" ht="24" customHeight="1" x14ac:dyDescent="0.25">
      <c r="B22" s="111" t="s">
        <v>42</v>
      </c>
      <c r="C22" s="111">
        <v>10124268</v>
      </c>
      <c r="D22" s="111">
        <v>2195063</v>
      </c>
      <c r="E22" s="112">
        <f t="shared" si="0"/>
        <v>12319331</v>
      </c>
      <c r="F22" s="111">
        <v>9857632</v>
      </c>
      <c r="G22" s="111">
        <v>1690991</v>
      </c>
      <c r="H22" s="112">
        <f t="shared" si="1"/>
        <v>11548623</v>
      </c>
    </row>
    <row r="23" spans="2:8" ht="24" customHeight="1" x14ac:dyDescent="0.25">
      <c r="B23" s="111" t="s">
        <v>30</v>
      </c>
      <c r="C23" s="111">
        <v>61230587</v>
      </c>
      <c r="D23" s="111">
        <v>175087263</v>
      </c>
      <c r="E23" s="112">
        <f t="shared" si="0"/>
        <v>236317850</v>
      </c>
      <c r="F23" s="111">
        <v>54315284</v>
      </c>
      <c r="G23" s="111">
        <v>132307345</v>
      </c>
      <c r="H23" s="112">
        <f t="shared" si="1"/>
        <v>186622629</v>
      </c>
    </row>
    <row r="24" spans="2:8" ht="24" customHeight="1" x14ac:dyDescent="0.25">
      <c r="B24" s="111" t="s">
        <v>43</v>
      </c>
      <c r="C24" s="111">
        <v>680921</v>
      </c>
      <c r="D24" s="111">
        <v>835671</v>
      </c>
      <c r="E24" s="112">
        <f t="shared" si="0"/>
        <v>1516592</v>
      </c>
      <c r="F24" s="111">
        <v>830670</v>
      </c>
      <c r="G24" s="111">
        <v>835671</v>
      </c>
      <c r="H24" s="112">
        <f t="shared" si="1"/>
        <v>1666341</v>
      </c>
    </row>
    <row r="25" spans="2:8" ht="24" customHeight="1" x14ac:dyDescent="0.25">
      <c r="B25" s="111" t="s">
        <v>44</v>
      </c>
      <c r="C25" s="111">
        <v>9498957</v>
      </c>
      <c r="D25" s="111">
        <v>18190471</v>
      </c>
      <c r="E25" s="112">
        <f t="shared" si="0"/>
        <v>27689428</v>
      </c>
      <c r="F25" s="111">
        <v>11151231</v>
      </c>
      <c r="G25" s="111">
        <v>17809712</v>
      </c>
      <c r="H25" s="112">
        <f t="shared" si="1"/>
        <v>28960943</v>
      </c>
    </row>
    <row r="26" spans="2:8" ht="24" customHeight="1" x14ac:dyDescent="0.25">
      <c r="B26" s="119" t="s">
        <v>22</v>
      </c>
      <c r="C26" s="112">
        <f>SUM(C6:C25)</f>
        <v>217068130</v>
      </c>
      <c r="D26" s="112">
        <f t="shared" ref="D26:H26" si="2">SUM(D6:D25)</f>
        <v>332231694.15999997</v>
      </c>
      <c r="E26" s="112">
        <f t="shared" si="2"/>
        <v>549299824.15999997</v>
      </c>
      <c r="F26" s="112">
        <f t="shared" si="2"/>
        <v>243469653</v>
      </c>
      <c r="G26" s="112">
        <f t="shared" si="2"/>
        <v>288427423</v>
      </c>
      <c r="H26" s="112">
        <f t="shared" si="2"/>
        <v>531897076</v>
      </c>
    </row>
    <row r="29" spans="2:8" x14ac:dyDescent="0.25">
      <c r="B29" t="s">
        <v>191</v>
      </c>
    </row>
  </sheetData>
  <mergeCells count="5">
    <mergeCell ref="C4:E4"/>
    <mergeCell ref="F4:H4"/>
    <mergeCell ref="B4:B5"/>
    <mergeCell ref="B2:H2"/>
    <mergeCell ref="B1:H1"/>
  </mergeCells>
  <printOptions horizontalCentered="1"/>
  <pageMargins left="0.70866141732283472" right="0.70866141732283472" top="0.74803149606299213" bottom="0.74803149606299213" header="0.31496062992125984" footer="0.31496062992125984"/>
  <pageSetup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D33"/>
  <sheetViews>
    <sheetView zoomScale="90" zoomScaleNormal="90" workbookViewId="0">
      <selection activeCell="K14" sqref="K14"/>
    </sheetView>
  </sheetViews>
  <sheetFormatPr baseColWidth="10" defaultRowHeight="15" x14ac:dyDescent="0.25"/>
  <cols>
    <col min="1" max="1" width="3.5703125" customWidth="1"/>
    <col min="2" max="2" width="30.28515625" customWidth="1"/>
    <col min="3" max="3" width="33.42578125" customWidth="1"/>
  </cols>
  <sheetData>
    <row r="2" spans="2:4" x14ac:dyDescent="0.25">
      <c r="B2" s="1"/>
      <c r="C2" s="1"/>
    </row>
    <row r="3" spans="2:4" x14ac:dyDescent="0.25">
      <c r="B3" s="624"/>
      <c r="C3" s="624"/>
    </row>
    <row r="4" spans="2:4" x14ac:dyDescent="0.25">
      <c r="B4" s="624" t="s">
        <v>348</v>
      </c>
      <c r="C4" s="624"/>
    </row>
    <row r="5" spans="2:4" ht="15.75" thickBot="1" x14ac:dyDescent="0.3">
      <c r="B5" s="80"/>
      <c r="C5" s="80"/>
    </row>
    <row r="6" spans="2:4" ht="15" customHeight="1" x14ac:dyDescent="0.25">
      <c r="B6" s="668" t="s">
        <v>26</v>
      </c>
      <c r="C6" s="668" t="s">
        <v>347</v>
      </c>
    </row>
    <row r="7" spans="2:4" x14ac:dyDescent="0.25">
      <c r="B7" s="706"/>
      <c r="C7" s="650"/>
    </row>
    <row r="8" spans="2:4" x14ac:dyDescent="0.25">
      <c r="B8" s="706"/>
      <c r="C8" s="650"/>
    </row>
    <row r="9" spans="2:4" ht="15.75" thickBot="1" x14ac:dyDescent="0.3">
      <c r="B9" s="707"/>
      <c r="C9" s="651"/>
    </row>
    <row r="10" spans="2:4" ht="24" customHeight="1" x14ac:dyDescent="0.25">
      <c r="B10" s="87" t="s">
        <v>3</v>
      </c>
      <c r="C10" s="92">
        <v>37309</v>
      </c>
      <c r="D10" s="102"/>
    </row>
    <row r="11" spans="2:4" ht="24" customHeight="1" x14ac:dyDescent="0.25">
      <c r="B11" s="87" t="s">
        <v>4</v>
      </c>
      <c r="C11" s="93">
        <v>15953</v>
      </c>
      <c r="D11" s="102"/>
    </row>
    <row r="12" spans="2:4" ht="24" customHeight="1" x14ac:dyDescent="0.25">
      <c r="B12" s="87" t="s">
        <v>5</v>
      </c>
      <c r="C12" s="89">
        <v>11851</v>
      </c>
      <c r="D12" s="102"/>
    </row>
    <row r="13" spans="2:4" ht="24" customHeight="1" x14ac:dyDescent="0.25">
      <c r="B13" s="87" t="s">
        <v>6</v>
      </c>
      <c r="C13" s="89">
        <v>150250</v>
      </c>
      <c r="D13" s="102"/>
    </row>
    <row r="14" spans="2:4" ht="24" customHeight="1" x14ac:dyDescent="0.25">
      <c r="B14" s="87" t="s">
        <v>7</v>
      </c>
      <c r="C14" s="89">
        <v>75520</v>
      </c>
      <c r="D14" s="102"/>
    </row>
    <row r="15" spans="2:4" ht="24" customHeight="1" x14ac:dyDescent="0.25">
      <c r="B15" s="87" t="s">
        <v>8</v>
      </c>
      <c r="C15" s="89">
        <v>42514</v>
      </c>
      <c r="D15" s="102"/>
    </row>
    <row r="16" spans="2:4" ht="24" customHeight="1" x14ac:dyDescent="0.25">
      <c r="B16" s="87" t="s">
        <v>9</v>
      </c>
      <c r="C16" s="89">
        <v>12614</v>
      </c>
      <c r="D16" s="102"/>
    </row>
    <row r="17" spans="2:4" ht="24" customHeight="1" x14ac:dyDescent="0.25">
      <c r="B17" s="87" t="s">
        <v>10</v>
      </c>
      <c r="C17" s="89">
        <v>29416</v>
      </c>
      <c r="D17" s="102"/>
    </row>
    <row r="18" spans="2:4" ht="24" customHeight="1" x14ac:dyDescent="0.25">
      <c r="B18" s="87" t="s">
        <v>11</v>
      </c>
      <c r="C18" s="89">
        <v>18580</v>
      </c>
      <c r="D18" s="102"/>
    </row>
    <row r="19" spans="2:4" ht="24" customHeight="1" x14ac:dyDescent="0.25">
      <c r="B19" s="87" t="s">
        <v>12</v>
      </c>
      <c r="C19" s="89">
        <v>14315</v>
      </c>
      <c r="D19" s="102"/>
    </row>
    <row r="20" spans="2:4" ht="24" customHeight="1" x14ac:dyDescent="0.25">
      <c r="B20" s="87" t="s">
        <v>13</v>
      </c>
      <c r="C20" s="89">
        <v>33901</v>
      </c>
      <c r="D20" s="102"/>
    </row>
    <row r="21" spans="2:4" ht="24" customHeight="1" x14ac:dyDescent="0.25">
      <c r="B21" s="87" t="s">
        <v>14</v>
      </c>
      <c r="C21" s="89">
        <v>24743</v>
      </c>
      <c r="D21" s="102"/>
    </row>
    <row r="22" spans="2:4" ht="24" customHeight="1" x14ac:dyDescent="0.25">
      <c r="B22" s="87" t="s">
        <v>15</v>
      </c>
      <c r="C22" s="89">
        <v>43979</v>
      </c>
      <c r="D22" s="102"/>
    </row>
    <row r="23" spans="2:4" ht="24" customHeight="1" x14ac:dyDescent="0.25">
      <c r="B23" s="87" t="s">
        <v>16</v>
      </c>
      <c r="C23" s="89">
        <v>7499</v>
      </c>
      <c r="D23" s="102"/>
    </row>
    <row r="24" spans="2:4" ht="24" customHeight="1" x14ac:dyDescent="0.25">
      <c r="B24" s="87" t="s">
        <v>17</v>
      </c>
      <c r="C24" s="89">
        <v>23477</v>
      </c>
      <c r="D24" s="102"/>
    </row>
    <row r="25" spans="2:4" ht="24" customHeight="1" x14ac:dyDescent="0.25">
      <c r="B25" s="87" t="s">
        <v>23</v>
      </c>
      <c r="C25" s="89">
        <v>97820</v>
      </c>
      <c r="D25" s="102"/>
    </row>
    <row r="26" spans="2:4" ht="24" customHeight="1" x14ac:dyDescent="0.25">
      <c r="B26" s="87" t="s">
        <v>18</v>
      </c>
      <c r="C26" s="89">
        <v>39718</v>
      </c>
      <c r="D26" s="102"/>
    </row>
    <row r="27" spans="2:4" ht="24" customHeight="1" x14ac:dyDescent="0.25">
      <c r="B27" s="87" t="s">
        <v>19</v>
      </c>
      <c r="C27" s="89">
        <v>413608</v>
      </c>
      <c r="D27" s="102"/>
    </row>
    <row r="28" spans="2:4" ht="24" customHeight="1" x14ac:dyDescent="0.25">
      <c r="B28" s="87" t="s">
        <v>20</v>
      </c>
      <c r="C28" s="89">
        <v>30565</v>
      </c>
      <c r="D28" s="102"/>
    </row>
    <row r="29" spans="2:4" ht="24" customHeight="1" thickBot="1" x14ac:dyDescent="0.3">
      <c r="B29" s="87" t="s">
        <v>21</v>
      </c>
      <c r="C29" s="89">
        <v>57418</v>
      </c>
      <c r="D29" s="102"/>
    </row>
    <row r="30" spans="2:4" ht="24" customHeight="1" thickBot="1" x14ac:dyDescent="0.3">
      <c r="B30" s="88" t="s">
        <v>22</v>
      </c>
      <c r="C30" s="67">
        <f>SUM(C10:C29)</f>
        <v>1181050</v>
      </c>
    </row>
    <row r="31" spans="2:4" x14ac:dyDescent="0.25">
      <c r="B31" s="1"/>
      <c r="C31" s="1"/>
    </row>
    <row r="32" spans="2:4" x14ac:dyDescent="0.25">
      <c r="B32" s="1" t="s">
        <v>260</v>
      </c>
      <c r="C32" s="1"/>
    </row>
    <row r="33" spans="2:3" ht="29.25" customHeight="1" x14ac:dyDescent="0.25">
      <c r="B33" s="745" t="s">
        <v>261</v>
      </c>
      <c r="C33" s="745"/>
    </row>
  </sheetData>
  <mergeCells count="5">
    <mergeCell ref="B3:C3"/>
    <mergeCell ref="B4:C4"/>
    <mergeCell ref="B6:B9"/>
    <mergeCell ref="C6:C9"/>
    <mergeCell ref="B33:C33"/>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36"/>
  <sheetViews>
    <sheetView workbookViewId="0">
      <selection activeCell="F38" sqref="F38"/>
    </sheetView>
  </sheetViews>
  <sheetFormatPr baseColWidth="10" defaultColWidth="11.42578125" defaultRowHeight="12.75" x14ac:dyDescent="0.2"/>
  <cols>
    <col min="1" max="1" width="16.42578125" style="532" bestFit="1" customWidth="1"/>
    <col min="2" max="2" width="9.140625" style="532" bestFit="1" customWidth="1"/>
    <col min="3" max="3" width="10.85546875" style="532" bestFit="1" customWidth="1"/>
    <col min="4" max="4" width="11.7109375" style="532" bestFit="1" customWidth="1"/>
    <col min="5" max="10" width="10.85546875" style="532" bestFit="1" customWidth="1"/>
    <col min="11" max="11" width="11.5703125" style="532" customWidth="1"/>
    <col min="12" max="12" width="11.28515625" style="532" customWidth="1"/>
    <col min="13" max="14" width="10.85546875" style="532" bestFit="1" customWidth="1"/>
    <col min="15" max="15" width="11.7109375" style="532" bestFit="1" customWidth="1"/>
    <col min="16" max="16384" width="11.42578125" style="532"/>
  </cols>
  <sheetData>
    <row r="1" spans="1:15" ht="15.75" x14ac:dyDescent="0.25">
      <c r="A1" s="746" t="s">
        <v>354</v>
      </c>
      <c r="B1" s="746"/>
      <c r="C1" s="746"/>
      <c r="D1" s="746"/>
      <c r="E1" s="746"/>
      <c r="F1" s="746"/>
      <c r="G1" s="746"/>
      <c r="H1" s="746"/>
      <c r="I1" s="746"/>
      <c r="J1" s="746"/>
      <c r="K1" s="746"/>
      <c r="L1" s="746"/>
      <c r="M1" s="746"/>
      <c r="N1" s="746"/>
      <c r="O1" s="746"/>
    </row>
    <row r="2" spans="1:15" x14ac:dyDescent="0.2">
      <c r="A2" s="747" t="s">
        <v>355</v>
      </c>
      <c r="B2" s="747"/>
      <c r="C2" s="747"/>
      <c r="D2" s="747"/>
      <c r="E2" s="747"/>
      <c r="F2" s="747"/>
      <c r="G2" s="747"/>
      <c r="H2" s="747"/>
      <c r="I2" s="747"/>
      <c r="J2" s="747"/>
      <c r="K2" s="747"/>
      <c r="L2" s="747"/>
      <c r="M2" s="747"/>
      <c r="N2" s="747"/>
      <c r="O2" s="747"/>
    </row>
    <row r="3" spans="1:15" x14ac:dyDescent="0.2">
      <c r="A3" s="747" t="s">
        <v>356</v>
      </c>
      <c r="B3" s="747"/>
      <c r="C3" s="747"/>
      <c r="D3" s="747"/>
      <c r="E3" s="747"/>
      <c r="F3" s="747"/>
      <c r="G3" s="747"/>
      <c r="H3" s="747"/>
      <c r="I3" s="747"/>
      <c r="J3" s="747"/>
      <c r="K3" s="747"/>
      <c r="L3" s="747"/>
      <c r="M3" s="747"/>
      <c r="N3" s="747"/>
      <c r="O3" s="747"/>
    </row>
    <row r="4" spans="1:15" x14ac:dyDescent="0.2">
      <c r="A4" s="748" t="s">
        <v>357</v>
      </c>
      <c r="B4" s="748"/>
      <c r="C4" s="748"/>
      <c r="D4" s="748"/>
      <c r="E4" s="748"/>
      <c r="F4" s="748"/>
      <c r="G4" s="748"/>
      <c r="H4" s="748"/>
      <c r="I4" s="748"/>
      <c r="J4" s="748"/>
      <c r="K4" s="748"/>
      <c r="L4" s="748"/>
      <c r="M4" s="748"/>
      <c r="N4" s="748"/>
      <c r="O4" s="748"/>
    </row>
    <row r="5" spans="1:15" ht="13.5" thickBot="1" x14ac:dyDescent="0.25"/>
    <row r="6" spans="1:15" ht="23.25" thickBot="1" x14ac:dyDescent="0.25">
      <c r="A6" s="533" t="s">
        <v>26</v>
      </c>
      <c r="B6" s="534" t="s">
        <v>358</v>
      </c>
      <c r="C6" s="533" t="s">
        <v>223</v>
      </c>
      <c r="D6" s="535" t="s">
        <v>224</v>
      </c>
      <c r="E6" s="533" t="s">
        <v>227</v>
      </c>
      <c r="F6" s="535" t="s">
        <v>230</v>
      </c>
      <c r="G6" s="533" t="s">
        <v>233</v>
      </c>
      <c r="H6" s="533" t="s">
        <v>235</v>
      </c>
      <c r="I6" s="533" t="s">
        <v>236</v>
      </c>
      <c r="J6" s="535" t="s">
        <v>238</v>
      </c>
      <c r="K6" s="533" t="s">
        <v>239</v>
      </c>
      <c r="L6" s="535" t="s">
        <v>240</v>
      </c>
      <c r="M6" s="533" t="s">
        <v>241</v>
      </c>
      <c r="N6" s="533" t="s">
        <v>242</v>
      </c>
      <c r="O6" s="536" t="s">
        <v>29</v>
      </c>
    </row>
    <row r="7" spans="1:15" x14ac:dyDescent="0.2">
      <c r="A7" s="537" t="s">
        <v>359</v>
      </c>
      <c r="B7" s="538">
        <v>3.6200000000000003E-2</v>
      </c>
      <c r="C7" s="539">
        <v>2878623.4198950008</v>
      </c>
      <c r="D7" s="540">
        <v>3381300.9729450005</v>
      </c>
      <c r="E7" s="539">
        <v>2809531.1197800003</v>
      </c>
      <c r="F7" s="540">
        <v>3098355.9393150005</v>
      </c>
      <c r="G7" s="539">
        <v>2623805.8405650002</v>
      </c>
      <c r="H7" s="539">
        <v>2518492.8964950005</v>
      </c>
      <c r="I7" s="541">
        <v>3139518.9529800005</v>
      </c>
      <c r="J7" s="540">
        <v>2702840.8887900002</v>
      </c>
      <c r="K7" s="539">
        <v>3012274.8552150005</v>
      </c>
      <c r="L7" s="540">
        <v>3455303.2989750002</v>
      </c>
      <c r="M7" s="539">
        <v>2701980.4509900003</v>
      </c>
      <c r="N7" s="539">
        <v>3028285.5468750005</v>
      </c>
      <c r="O7" s="542">
        <f>SUM(C7:N7)</f>
        <v>35350314.182820007</v>
      </c>
    </row>
    <row r="8" spans="1:15" x14ac:dyDescent="0.2">
      <c r="A8" s="537" t="s">
        <v>33</v>
      </c>
      <c r="B8" s="538">
        <v>2.47E-2</v>
      </c>
      <c r="C8" s="539">
        <v>1964143.6041825002</v>
      </c>
      <c r="D8" s="540">
        <v>2307130.7743575</v>
      </c>
      <c r="E8" s="539">
        <v>1917000.5154300001</v>
      </c>
      <c r="F8" s="540">
        <v>2114071.5939525003</v>
      </c>
      <c r="G8" s="539">
        <v>1790276.3608275</v>
      </c>
      <c r="H8" s="539">
        <v>1718419.1862825002</v>
      </c>
      <c r="I8" s="539">
        <v>2142157.9596299999</v>
      </c>
      <c r="J8" s="540">
        <v>1844203.589865</v>
      </c>
      <c r="K8" s="539">
        <v>2055336.7106025</v>
      </c>
      <c r="L8" s="540">
        <v>2357624.0741625</v>
      </c>
      <c r="M8" s="539">
        <v>1843616.495565</v>
      </c>
      <c r="N8" s="539">
        <v>2066261.1328125</v>
      </c>
      <c r="O8" s="542">
        <f t="shared" ref="O8:O26" si="0">SUM(C8:N8)</f>
        <v>24120241.997669999</v>
      </c>
    </row>
    <row r="9" spans="1:15" x14ac:dyDescent="0.2">
      <c r="A9" s="537" t="s">
        <v>32</v>
      </c>
      <c r="B9" s="538">
        <v>2.3300000000000001E-2</v>
      </c>
      <c r="C9" s="539">
        <v>1852815.6266175003</v>
      </c>
      <c r="D9" s="540">
        <v>2176362.2284425003</v>
      </c>
      <c r="E9" s="539">
        <v>1808344.6157700003</v>
      </c>
      <c r="F9" s="540">
        <v>1994245.6736475001</v>
      </c>
      <c r="G9" s="539">
        <v>1688803.2067725002</v>
      </c>
      <c r="H9" s="539">
        <v>1621018.9085175004</v>
      </c>
      <c r="I9" s="539">
        <v>2020740.0995700003</v>
      </c>
      <c r="J9" s="540">
        <v>1739673.8317350002</v>
      </c>
      <c r="K9" s="539">
        <v>1938839.8929975003</v>
      </c>
      <c r="L9" s="540">
        <v>2223993.5598375001</v>
      </c>
      <c r="M9" s="539">
        <v>1739120.0140350002</v>
      </c>
      <c r="N9" s="539">
        <v>1949145.1171875</v>
      </c>
      <c r="O9" s="542">
        <f t="shared" si="0"/>
        <v>22753102.775130007</v>
      </c>
    </row>
    <row r="10" spans="1:15" x14ac:dyDescent="0.2">
      <c r="A10" s="537" t="s">
        <v>360</v>
      </c>
      <c r="B10" s="538">
        <v>2.81E-2</v>
      </c>
      <c r="C10" s="539">
        <v>2234511.5496975002</v>
      </c>
      <c r="D10" s="540">
        <v>2624711.5287225004</v>
      </c>
      <c r="E10" s="539">
        <v>2180879.1288900003</v>
      </c>
      <c r="F10" s="540">
        <v>2405077.4004075001</v>
      </c>
      <c r="G10" s="539">
        <v>2036711.1635325002</v>
      </c>
      <c r="H10" s="539">
        <v>1954962.7179975002</v>
      </c>
      <c r="I10" s="539">
        <v>2437029.9054900003</v>
      </c>
      <c r="J10" s="540">
        <v>2098061.5738949999</v>
      </c>
      <c r="K10" s="539">
        <v>2338257.5533575001</v>
      </c>
      <c r="L10" s="540">
        <v>2682155.3232375002</v>
      </c>
      <c r="M10" s="539">
        <v>2097393.6649950002</v>
      </c>
      <c r="N10" s="539">
        <v>2350685.7421875</v>
      </c>
      <c r="O10" s="542">
        <f t="shared" si="0"/>
        <v>27440437.252410006</v>
      </c>
    </row>
    <row r="11" spans="1:15" x14ac:dyDescent="0.2">
      <c r="A11" s="537" t="s">
        <v>34</v>
      </c>
      <c r="B11" s="538">
        <v>4.6399999999999997E-2</v>
      </c>
      <c r="C11" s="539">
        <v>3689727.2564400001</v>
      </c>
      <c r="D11" s="540">
        <v>4334043.2360399999</v>
      </c>
      <c r="E11" s="539">
        <v>3601166.9601600002</v>
      </c>
      <c r="F11" s="540">
        <v>3971373.3586800001</v>
      </c>
      <c r="G11" s="539">
        <v>3363110.2486799997</v>
      </c>
      <c r="H11" s="539">
        <v>3228123.4916400001</v>
      </c>
      <c r="I11" s="539">
        <v>4024134.7905600001</v>
      </c>
      <c r="J11" s="540">
        <v>3464414.84088</v>
      </c>
      <c r="K11" s="539">
        <v>3861037.3834799998</v>
      </c>
      <c r="L11" s="540">
        <v>4428897.0461999997</v>
      </c>
      <c r="M11" s="539">
        <v>3463311.9592800001</v>
      </c>
      <c r="N11" s="539">
        <v>3881559.3749999995</v>
      </c>
      <c r="O11" s="542">
        <f t="shared" si="0"/>
        <v>45310899.947040007</v>
      </c>
    </row>
    <row r="12" spans="1:15" x14ac:dyDescent="0.2">
      <c r="A12" s="537" t="s">
        <v>361</v>
      </c>
      <c r="B12" s="538">
        <v>1.4999999999999999E-2</v>
      </c>
      <c r="C12" s="539">
        <v>1192799.7596250002</v>
      </c>
      <c r="D12" s="540">
        <v>1401091.5633750001</v>
      </c>
      <c r="E12" s="539">
        <v>1164170.3535</v>
      </c>
      <c r="F12" s="540">
        <v>1283849.146125</v>
      </c>
      <c r="G12" s="539">
        <v>1087212.364875</v>
      </c>
      <c r="H12" s="539">
        <v>1043574.4046250001</v>
      </c>
      <c r="I12" s="539">
        <v>1300905.6435</v>
      </c>
      <c r="J12" s="540">
        <v>1119961.6942499999</v>
      </c>
      <c r="K12" s="539">
        <v>1248180.188625</v>
      </c>
      <c r="L12" s="540">
        <v>1431755.5106249999</v>
      </c>
      <c r="M12" s="539">
        <v>1119605.15925</v>
      </c>
      <c r="N12" s="539">
        <v>1254814.453125</v>
      </c>
      <c r="O12" s="542">
        <f t="shared" si="0"/>
        <v>14647920.241500001</v>
      </c>
    </row>
    <row r="13" spans="1:15" x14ac:dyDescent="0.2">
      <c r="A13" s="537" t="s">
        <v>47</v>
      </c>
      <c r="B13" s="538">
        <v>1.5299999999999999E-2</v>
      </c>
      <c r="C13" s="539">
        <v>1216655.7548175</v>
      </c>
      <c r="D13" s="540">
        <v>1429113.3946425</v>
      </c>
      <c r="E13" s="539">
        <v>1187453.7605699999</v>
      </c>
      <c r="F13" s="540">
        <v>1309526.1290475</v>
      </c>
      <c r="G13" s="539">
        <v>1108956.6121725</v>
      </c>
      <c r="H13" s="539">
        <v>1064445.8927175</v>
      </c>
      <c r="I13" s="539">
        <v>1326923.7563700001</v>
      </c>
      <c r="J13" s="540">
        <v>1142360.9281349999</v>
      </c>
      <c r="K13" s="539">
        <v>1273143.7923975</v>
      </c>
      <c r="L13" s="540">
        <v>1460390.6208374999</v>
      </c>
      <c r="M13" s="539">
        <v>1141997.2624349999</v>
      </c>
      <c r="N13" s="539">
        <v>1279910.7421875</v>
      </c>
      <c r="O13" s="542">
        <f t="shared" si="0"/>
        <v>14940878.646330001</v>
      </c>
    </row>
    <row r="14" spans="1:15" x14ac:dyDescent="0.2">
      <c r="A14" s="537" t="s">
        <v>35</v>
      </c>
      <c r="B14" s="538">
        <v>3.1600000000000003E-2</v>
      </c>
      <c r="C14" s="539">
        <v>2512831.4936100007</v>
      </c>
      <c r="D14" s="540">
        <v>2951632.8935100008</v>
      </c>
      <c r="E14" s="539">
        <v>2452518.8780400003</v>
      </c>
      <c r="F14" s="540">
        <v>2704642.2011700002</v>
      </c>
      <c r="G14" s="539">
        <v>2290394.0486700004</v>
      </c>
      <c r="H14" s="539">
        <v>2198463.4124100003</v>
      </c>
      <c r="I14" s="539">
        <v>2740574.5556400004</v>
      </c>
      <c r="J14" s="540">
        <v>2359385.9692200003</v>
      </c>
      <c r="K14" s="539">
        <v>2629499.5973700006</v>
      </c>
      <c r="L14" s="540">
        <v>3016231.6090500001</v>
      </c>
      <c r="M14" s="539">
        <v>2358634.8688200004</v>
      </c>
      <c r="N14" s="539">
        <v>2643475.7812500005</v>
      </c>
      <c r="O14" s="542">
        <f t="shared" si="0"/>
        <v>30858285.308760006</v>
      </c>
    </row>
    <row r="15" spans="1:15" x14ac:dyDescent="0.2">
      <c r="A15" s="537" t="s">
        <v>36</v>
      </c>
      <c r="B15" s="538">
        <v>2.81E-2</v>
      </c>
      <c r="C15" s="539">
        <v>2234511.5496975002</v>
      </c>
      <c r="D15" s="540">
        <v>2624711.5287225004</v>
      </c>
      <c r="E15" s="539">
        <v>2180879.1288900003</v>
      </c>
      <c r="F15" s="540">
        <v>2405077.4004075001</v>
      </c>
      <c r="G15" s="539">
        <v>2036711.1635325002</v>
      </c>
      <c r="H15" s="539">
        <v>1954962.7179975002</v>
      </c>
      <c r="I15" s="539">
        <v>2437029.9054900003</v>
      </c>
      <c r="J15" s="540">
        <v>2098061.5738949999</v>
      </c>
      <c r="K15" s="539">
        <v>2338257.5533575001</v>
      </c>
      <c r="L15" s="540">
        <v>2682155.3232375002</v>
      </c>
      <c r="M15" s="539">
        <v>2097393.6649950002</v>
      </c>
      <c r="N15" s="539">
        <v>2350685.7421875</v>
      </c>
      <c r="O15" s="542">
        <f t="shared" si="0"/>
        <v>27440437.252410006</v>
      </c>
    </row>
    <row r="16" spans="1:15" x14ac:dyDescent="0.2">
      <c r="A16" s="537" t="s">
        <v>46</v>
      </c>
      <c r="B16" s="538">
        <v>1.6E-2</v>
      </c>
      <c r="C16" s="539">
        <v>1272319.7436000002</v>
      </c>
      <c r="D16" s="540">
        <v>1494497.6676000003</v>
      </c>
      <c r="E16" s="539">
        <v>1241781.7104000002</v>
      </c>
      <c r="F16" s="540">
        <v>1369439.0892</v>
      </c>
      <c r="G16" s="539">
        <v>1159693.1892000001</v>
      </c>
      <c r="H16" s="539">
        <v>1113146.0316000001</v>
      </c>
      <c r="I16" s="539">
        <v>1387632.6864000002</v>
      </c>
      <c r="J16" s="540">
        <v>1194625.8072000002</v>
      </c>
      <c r="K16" s="539">
        <v>1331392.2012</v>
      </c>
      <c r="L16" s="540">
        <v>1527205.878</v>
      </c>
      <c r="M16" s="539">
        <v>1194245.5032000002</v>
      </c>
      <c r="N16" s="539">
        <v>1338468.75</v>
      </c>
      <c r="O16" s="542">
        <f t="shared" si="0"/>
        <v>15624448.257600002</v>
      </c>
    </row>
    <row r="17" spans="1:15" x14ac:dyDescent="0.2">
      <c r="A17" s="537" t="s">
        <v>37</v>
      </c>
      <c r="B17" s="538">
        <v>2.8400000000000002E-2</v>
      </c>
      <c r="C17" s="539">
        <v>2258367.5448900005</v>
      </c>
      <c r="D17" s="540">
        <v>2652733.3599900003</v>
      </c>
      <c r="E17" s="539">
        <v>2204162.5359600005</v>
      </c>
      <c r="F17" s="540">
        <v>2430754.3833300001</v>
      </c>
      <c r="G17" s="539">
        <v>2058455.4108300002</v>
      </c>
      <c r="H17" s="539">
        <v>1975834.2060900005</v>
      </c>
      <c r="I17" s="539">
        <v>2463048.0183600001</v>
      </c>
      <c r="J17" s="540">
        <v>2120460.8077800004</v>
      </c>
      <c r="K17" s="539">
        <v>2363221.1571300002</v>
      </c>
      <c r="L17" s="540">
        <v>2710790.4334500004</v>
      </c>
      <c r="M17" s="539">
        <v>2119785.7681800001</v>
      </c>
      <c r="N17" s="539">
        <v>2375782.03125</v>
      </c>
      <c r="O17" s="542">
        <f t="shared" si="0"/>
        <v>27733395.657240007</v>
      </c>
    </row>
    <row r="18" spans="1:15" x14ac:dyDescent="0.2">
      <c r="A18" s="537" t="s">
        <v>38</v>
      </c>
      <c r="B18" s="538">
        <v>3.3300000000000003E-2</v>
      </c>
      <c r="C18" s="539">
        <v>2648015.4663675004</v>
      </c>
      <c r="D18" s="540">
        <v>3110423.2706925008</v>
      </c>
      <c r="E18" s="539">
        <v>2584458.1847700006</v>
      </c>
      <c r="F18" s="540">
        <v>2850145.1043975004</v>
      </c>
      <c r="G18" s="539">
        <v>2413611.4500225005</v>
      </c>
      <c r="H18" s="539">
        <v>2316735.1782675004</v>
      </c>
      <c r="I18" s="539">
        <v>2888010.5285700005</v>
      </c>
      <c r="J18" s="540">
        <v>2486314.9612350003</v>
      </c>
      <c r="K18" s="539">
        <v>2770960.0187475001</v>
      </c>
      <c r="L18" s="540">
        <v>3178497.2335875002</v>
      </c>
      <c r="M18" s="539">
        <v>2485523.4535350003</v>
      </c>
      <c r="N18" s="539">
        <v>2785688.0859375005</v>
      </c>
      <c r="O18" s="542">
        <f t="shared" si="0"/>
        <v>32518382.936130006</v>
      </c>
    </row>
    <row r="19" spans="1:15" x14ac:dyDescent="0.2">
      <c r="A19" s="537" t="s">
        <v>39</v>
      </c>
      <c r="B19" s="538">
        <v>4.6899999999999997E-2</v>
      </c>
      <c r="C19" s="539">
        <v>3729487.2484275</v>
      </c>
      <c r="D19" s="540">
        <v>4380746.2881525001</v>
      </c>
      <c r="E19" s="539">
        <v>3639972.6386100003</v>
      </c>
      <c r="F19" s="540">
        <v>4014168.3302174998</v>
      </c>
      <c r="G19" s="539">
        <v>3399350.6608425002</v>
      </c>
      <c r="H19" s="539">
        <v>3262909.3051275001</v>
      </c>
      <c r="I19" s="539">
        <v>4067498.31201</v>
      </c>
      <c r="J19" s="540">
        <v>3501746.897355</v>
      </c>
      <c r="K19" s="539">
        <v>3902643.3897675001</v>
      </c>
      <c r="L19" s="540">
        <v>4476622.2298874995</v>
      </c>
      <c r="M19" s="539">
        <v>3500632.1312549999</v>
      </c>
      <c r="N19" s="539">
        <v>3923386.5234375</v>
      </c>
      <c r="O19" s="542">
        <f t="shared" si="0"/>
        <v>45799163.955090001</v>
      </c>
    </row>
    <row r="20" spans="1:15" x14ac:dyDescent="0.2">
      <c r="A20" s="537" t="s">
        <v>362</v>
      </c>
      <c r="B20" s="538">
        <v>2.1299999999999999E-2</v>
      </c>
      <c r="C20" s="539">
        <v>1693775.6586675001</v>
      </c>
      <c r="D20" s="540">
        <v>1989550.0199925001</v>
      </c>
      <c r="E20" s="539">
        <v>1653121.90197</v>
      </c>
      <c r="F20" s="540">
        <v>1823065.7874975</v>
      </c>
      <c r="G20" s="539">
        <v>1543841.5581225001</v>
      </c>
      <c r="H20" s="539">
        <v>1481875.6545675001</v>
      </c>
      <c r="I20" s="539">
        <v>1847286.0137700001</v>
      </c>
      <c r="J20" s="540">
        <v>1590345.6058350001</v>
      </c>
      <c r="K20" s="539">
        <v>1772415.8678475001</v>
      </c>
      <c r="L20" s="540">
        <v>2033092.8250875</v>
      </c>
      <c r="M20" s="539">
        <v>1589839.326135</v>
      </c>
      <c r="N20" s="539">
        <v>1781836.5234375</v>
      </c>
      <c r="O20" s="542">
        <f t="shared" si="0"/>
        <v>20800046.742929999</v>
      </c>
    </row>
    <row r="21" spans="1:15" x14ac:dyDescent="0.2">
      <c r="A21" s="537" t="s">
        <v>363</v>
      </c>
      <c r="B21" s="538">
        <v>2.81E-2</v>
      </c>
      <c r="C21" s="539">
        <v>2234511.5496975002</v>
      </c>
      <c r="D21" s="540">
        <v>2624711.5287225004</v>
      </c>
      <c r="E21" s="539">
        <v>2180879.1288900003</v>
      </c>
      <c r="F21" s="540">
        <v>2405077.4004075001</v>
      </c>
      <c r="G21" s="539">
        <v>2036711.1635325002</v>
      </c>
      <c r="H21" s="539">
        <v>1954962.7179975002</v>
      </c>
      <c r="I21" s="539">
        <v>2437029.9054900003</v>
      </c>
      <c r="J21" s="540">
        <v>2098061.5738949999</v>
      </c>
      <c r="K21" s="539">
        <v>2338257.5533575001</v>
      </c>
      <c r="L21" s="540">
        <v>2682155.3232375002</v>
      </c>
      <c r="M21" s="539">
        <v>2097393.6649950002</v>
      </c>
      <c r="N21" s="539">
        <v>2350685.7421875</v>
      </c>
      <c r="O21" s="542">
        <f t="shared" si="0"/>
        <v>27440437.252410006</v>
      </c>
    </row>
    <row r="22" spans="1:15" x14ac:dyDescent="0.2">
      <c r="A22" s="537" t="s">
        <v>364</v>
      </c>
      <c r="B22" s="538">
        <v>8.3400000000000002E-2</v>
      </c>
      <c r="C22" s="539">
        <v>6631966.6635150006</v>
      </c>
      <c r="D22" s="540">
        <v>7790069.0923650013</v>
      </c>
      <c r="E22" s="539">
        <v>6472787.1654600007</v>
      </c>
      <c r="F22" s="540">
        <v>7138201.2524550008</v>
      </c>
      <c r="G22" s="539">
        <v>6044900.7487050006</v>
      </c>
      <c r="H22" s="539">
        <v>5802273.6897150008</v>
      </c>
      <c r="I22" s="539">
        <v>7233035.3778600004</v>
      </c>
      <c r="J22" s="540">
        <v>6226987.0200300002</v>
      </c>
      <c r="K22" s="539">
        <v>6939881.8487550002</v>
      </c>
      <c r="L22" s="540">
        <v>7960560.6390749998</v>
      </c>
      <c r="M22" s="539">
        <v>6225004.6854300005</v>
      </c>
      <c r="N22" s="539">
        <v>6976768.359375</v>
      </c>
      <c r="O22" s="542">
        <f t="shared" si="0"/>
        <v>81442436.542740017</v>
      </c>
    </row>
    <row r="23" spans="1:15" x14ac:dyDescent="0.2">
      <c r="A23" s="537" t="s">
        <v>42</v>
      </c>
      <c r="B23" s="538">
        <v>3.5000000000000003E-2</v>
      </c>
      <c r="C23" s="539">
        <v>2783199.4391250005</v>
      </c>
      <c r="D23" s="540">
        <v>3269213.6478750007</v>
      </c>
      <c r="E23" s="539">
        <v>2716397.4915000005</v>
      </c>
      <c r="F23" s="540">
        <v>2995648.0076250006</v>
      </c>
      <c r="G23" s="539">
        <v>2536828.8513750006</v>
      </c>
      <c r="H23" s="539">
        <v>2435006.9441250004</v>
      </c>
      <c r="I23" s="539">
        <v>3035446.5015000007</v>
      </c>
      <c r="J23" s="540">
        <v>2613243.9532500003</v>
      </c>
      <c r="K23" s="539">
        <v>2912420.4401250002</v>
      </c>
      <c r="L23" s="540">
        <v>3340762.8581250003</v>
      </c>
      <c r="M23" s="539">
        <v>2612412.0382500002</v>
      </c>
      <c r="N23" s="539">
        <v>2927900.3906250005</v>
      </c>
      <c r="O23" s="542">
        <f t="shared" si="0"/>
        <v>34178480.563500009</v>
      </c>
    </row>
    <row r="24" spans="1:15" x14ac:dyDescent="0.2">
      <c r="A24" s="537" t="s">
        <v>30</v>
      </c>
      <c r="B24" s="538">
        <v>0.39</v>
      </c>
      <c r="C24" s="539">
        <v>31012793.750250004</v>
      </c>
      <c r="D24" s="540">
        <v>36428380.647750005</v>
      </c>
      <c r="E24" s="539">
        <v>30268429.191000003</v>
      </c>
      <c r="F24" s="540">
        <v>33380077.799250003</v>
      </c>
      <c r="G24" s="539">
        <v>28267521.486750003</v>
      </c>
      <c r="H24" s="539">
        <v>27132934.520250004</v>
      </c>
      <c r="I24" s="539">
        <v>33823546.731000006</v>
      </c>
      <c r="J24" s="540">
        <v>29119004.050500002</v>
      </c>
      <c r="K24" s="539">
        <v>32452684.904250003</v>
      </c>
      <c r="L24" s="540">
        <v>37225643.276250005</v>
      </c>
      <c r="M24" s="539">
        <v>29109734.140500002</v>
      </c>
      <c r="N24" s="539">
        <v>32625175.78125</v>
      </c>
      <c r="O24" s="542">
        <f t="shared" si="0"/>
        <v>380845926.27900004</v>
      </c>
    </row>
    <row r="25" spans="1:15" x14ac:dyDescent="0.2">
      <c r="A25" s="537" t="s">
        <v>43</v>
      </c>
      <c r="B25" s="538">
        <v>3.7900000000000003E-2</v>
      </c>
      <c r="C25" s="539">
        <v>3013807.3926525004</v>
      </c>
      <c r="D25" s="540">
        <v>3540091.3501275005</v>
      </c>
      <c r="E25" s="539">
        <v>2941470.4265100006</v>
      </c>
      <c r="F25" s="540">
        <v>3243858.8425425002</v>
      </c>
      <c r="G25" s="539">
        <v>2747023.2419175003</v>
      </c>
      <c r="H25" s="539">
        <v>2636764.6623525005</v>
      </c>
      <c r="I25" s="539">
        <v>3286954.9259100007</v>
      </c>
      <c r="J25" s="540">
        <v>2829769.8808050002</v>
      </c>
      <c r="K25" s="539">
        <v>3153735.2765925005</v>
      </c>
      <c r="L25" s="540">
        <v>3617568.9235125002</v>
      </c>
      <c r="M25" s="539">
        <v>2828869.0357050002</v>
      </c>
      <c r="N25" s="539">
        <v>3170497.8515625005</v>
      </c>
      <c r="O25" s="542">
        <f t="shared" si="0"/>
        <v>37010411.810190007</v>
      </c>
    </row>
    <row r="26" spans="1:15" ht="13.5" thickBot="1" x14ac:dyDescent="0.25">
      <c r="A26" s="537" t="s">
        <v>44</v>
      </c>
      <c r="B26" s="538">
        <v>3.1E-2</v>
      </c>
      <c r="C26" s="539">
        <v>2465119.5032250001</v>
      </c>
      <c r="D26" s="540">
        <v>2895589.2309750002</v>
      </c>
      <c r="E26" s="539">
        <v>2405952.0639</v>
      </c>
      <c r="F26" s="540">
        <v>2653288.2353250002</v>
      </c>
      <c r="G26" s="539">
        <v>2246905.5540749999</v>
      </c>
      <c r="H26" s="539">
        <v>2156720.4362250003</v>
      </c>
      <c r="I26" s="543">
        <v>2688538.3299000002</v>
      </c>
      <c r="J26" s="540">
        <v>2314587.5014499999</v>
      </c>
      <c r="K26" s="539">
        <v>2579572.389825</v>
      </c>
      <c r="L26" s="540">
        <v>2958961.3886250001</v>
      </c>
      <c r="M26" s="539">
        <v>2313850.6624500002</v>
      </c>
      <c r="N26" s="539">
        <v>2593283.203125</v>
      </c>
      <c r="O26" s="542">
        <f t="shared" si="0"/>
        <v>30272368.4991</v>
      </c>
    </row>
    <row r="27" spans="1:15" ht="13.5" thickBot="1" x14ac:dyDescent="0.25">
      <c r="A27" s="544" t="s">
        <v>365</v>
      </c>
      <c r="B27" s="545">
        <f>SUM(B7:B26)</f>
        <v>1</v>
      </c>
      <c r="C27" s="546">
        <f>SUM(C7:C26)</f>
        <v>79519983.975000009</v>
      </c>
      <c r="D27" s="546">
        <f t="shared" ref="D27:N27" si="1">SUM(D7:D26)</f>
        <v>93406104.225000024</v>
      </c>
      <c r="E27" s="546">
        <f t="shared" si="1"/>
        <v>77611356.900000006</v>
      </c>
      <c r="F27" s="546">
        <f t="shared" si="1"/>
        <v>85589943.075000003</v>
      </c>
      <c r="G27" s="546">
        <f t="shared" si="1"/>
        <v>72480824.325000003</v>
      </c>
      <c r="H27" s="546">
        <f t="shared" si="1"/>
        <v>69571626.975000009</v>
      </c>
      <c r="I27" s="546">
        <f t="shared" si="1"/>
        <v>86727042.900000006</v>
      </c>
      <c r="J27" s="546">
        <f t="shared" si="1"/>
        <v>74664112.950000003</v>
      </c>
      <c r="K27" s="546">
        <f t="shared" si="1"/>
        <v>83212012.575000003</v>
      </c>
      <c r="L27" s="546">
        <f t="shared" si="1"/>
        <v>95450367.375</v>
      </c>
      <c r="M27" s="546">
        <f t="shared" si="1"/>
        <v>74640343.950000003</v>
      </c>
      <c r="N27" s="546">
        <f t="shared" si="1"/>
        <v>83654296.875</v>
      </c>
      <c r="O27" s="546">
        <f>SUM(C27:N27)</f>
        <v>976528016.10000026</v>
      </c>
    </row>
    <row r="28" spans="1:15" x14ac:dyDescent="0.2">
      <c r="A28" s="547" t="s">
        <v>366</v>
      </c>
      <c r="B28" s="548"/>
      <c r="C28" s="548"/>
      <c r="D28" s="548"/>
      <c r="E28" s="548"/>
      <c r="F28" s="548"/>
      <c r="G28" s="548"/>
      <c r="H28" s="548"/>
      <c r="I28" s="548"/>
      <c r="J28" s="548"/>
      <c r="K28" s="548"/>
      <c r="L28" s="548"/>
      <c r="M28" s="548"/>
      <c r="N28" s="548"/>
      <c r="O28" s="548"/>
    </row>
    <row r="30" spans="1:15" x14ac:dyDescent="0.2">
      <c r="A30" s="549" t="s">
        <v>367</v>
      </c>
    </row>
    <row r="31" spans="1:15" ht="24.75" customHeight="1" x14ac:dyDescent="0.2">
      <c r="A31" s="749" t="s">
        <v>368</v>
      </c>
      <c r="B31" s="749"/>
      <c r="C31" s="749"/>
      <c r="D31" s="749"/>
      <c r="E31" s="749"/>
      <c r="F31" s="749"/>
      <c r="G31" s="749"/>
      <c r="H31" s="749"/>
      <c r="I31" s="749"/>
      <c r="J31" s="749"/>
      <c r="K31" s="749"/>
      <c r="L31" s="749"/>
      <c r="M31" s="749"/>
      <c r="N31" s="749"/>
      <c r="O31" s="749"/>
    </row>
    <row r="32" spans="1:15" x14ac:dyDescent="0.2">
      <c r="A32" s="550"/>
    </row>
    <row r="33" spans="1:1" x14ac:dyDescent="0.2">
      <c r="A33" s="550"/>
    </row>
    <row r="34" spans="1:1" x14ac:dyDescent="0.2">
      <c r="A34" s="550"/>
    </row>
    <row r="36" spans="1:1" x14ac:dyDescent="0.2">
      <c r="A36" s="547"/>
    </row>
  </sheetData>
  <mergeCells count="5">
    <mergeCell ref="A1:O1"/>
    <mergeCell ref="A2:O2"/>
    <mergeCell ref="A3:O3"/>
    <mergeCell ref="A4:O4"/>
    <mergeCell ref="A31:O31"/>
  </mergeCells>
  <printOptions horizontalCentered="1"/>
  <pageMargins left="0.86614173228346458" right="0.59055118110236227" top="0.98425196850393704" bottom="0.98425196850393704" header="0" footer="0"/>
  <pageSetup paperSize="5"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32"/>
  <sheetViews>
    <sheetView zoomScaleNormal="100" workbookViewId="0">
      <selection activeCell="F38" sqref="F38"/>
    </sheetView>
  </sheetViews>
  <sheetFormatPr baseColWidth="10" defaultColWidth="11.42578125" defaultRowHeight="12.75" x14ac:dyDescent="0.2"/>
  <cols>
    <col min="1" max="1" width="16" style="551" customWidth="1"/>
    <col min="2" max="2" width="9.28515625" style="551" bestFit="1" customWidth="1"/>
    <col min="3" max="14" width="10.85546875" style="551" bestFit="1" customWidth="1"/>
    <col min="15" max="15" width="10.5703125" style="551" customWidth="1"/>
    <col min="16" max="16" width="13.7109375" style="551" bestFit="1" customWidth="1"/>
    <col min="17" max="16384" width="11.42578125" style="551"/>
  </cols>
  <sheetData>
    <row r="1" spans="1:15" ht="15.75" x14ac:dyDescent="0.25">
      <c r="A1" s="750" t="s">
        <v>354</v>
      </c>
      <c r="B1" s="750"/>
      <c r="C1" s="750"/>
      <c r="D1" s="750"/>
      <c r="E1" s="750"/>
      <c r="F1" s="750"/>
      <c r="G1" s="750"/>
      <c r="H1" s="750"/>
      <c r="I1" s="750"/>
      <c r="J1" s="750"/>
      <c r="K1" s="750"/>
      <c r="L1" s="750"/>
      <c r="M1" s="750"/>
      <c r="N1" s="750"/>
      <c r="O1" s="750"/>
    </row>
    <row r="2" spans="1:15" x14ac:dyDescent="0.2">
      <c r="A2" s="751" t="s">
        <v>355</v>
      </c>
      <c r="B2" s="751"/>
      <c r="C2" s="751"/>
      <c r="D2" s="751"/>
      <c r="E2" s="751"/>
      <c r="F2" s="751"/>
      <c r="G2" s="751"/>
      <c r="H2" s="751"/>
      <c r="I2" s="751"/>
      <c r="J2" s="751"/>
      <c r="K2" s="751"/>
      <c r="L2" s="751"/>
      <c r="M2" s="751"/>
      <c r="N2" s="751"/>
      <c r="O2" s="751"/>
    </row>
    <row r="3" spans="1:15" x14ac:dyDescent="0.2">
      <c r="A3" s="751" t="s">
        <v>356</v>
      </c>
      <c r="B3" s="751"/>
      <c r="C3" s="751"/>
      <c r="D3" s="751"/>
      <c r="E3" s="751"/>
      <c r="F3" s="751"/>
      <c r="G3" s="751"/>
      <c r="H3" s="751"/>
      <c r="I3" s="751"/>
      <c r="J3" s="751"/>
      <c r="K3" s="751"/>
      <c r="L3" s="751"/>
      <c r="M3" s="751"/>
      <c r="N3" s="751"/>
      <c r="O3" s="751"/>
    </row>
    <row r="4" spans="1:15" x14ac:dyDescent="0.2">
      <c r="A4" s="752" t="s">
        <v>369</v>
      </c>
      <c r="B4" s="752"/>
      <c r="C4" s="752"/>
      <c r="D4" s="752"/>
      <c r="E4" s="752"/>
      <c r="F4" s="752"/>
      <c r="G4" s="752"/>
      <c r="H4" s="752"/>
      <c r="I4" s="752"/>
      <c r="J4" s="752"/>
      <c r="K4" s="752"/>
      <c r="L4" s="752"/>
      <c r="M4" s="752"/>
      <c r="N4" s="752"/>
      <c r="O4" s="752"/>
    </row>
    <row r="5" spans="1:15" ht="13.5" thickBot="1" x14ac:dyDescent="0.25"/>
    <row r="6" spans="1:15" ht="23.25" thickBot="1" x14ac:dyDescent="0.25">
      <c r="A6" s="552" t="s">
        <v>26</v>
      </c>
      <c r="B6" s="553" t="s">
        <v>358</v>
      </c>
      <c r="C6" s="552" t="s">
        <v>223</v>
      </c>
      <c r="D6" s="553" t="s">
        <v>224</v>
      </c>
      <c r="E6" s="552" t="s">
        <v>227</v>
      </c>
      <c r="F6" s="553" t="s">
        <v>230</v>
      </c>
      <c r="G6" s="552" t="s">
        <v>233</v>
      </c>
      <c r="H6" s="552" t="s">
        <v>235</v>
      </c>
      <c r="I6" s="552" t="s">
        <v>236</v>
      </c>
      <c r="J6" s="553" t="s">
        <v>238</v>
      </c>
      <c r="K6" s="552" t="s">
        <v>239</v>
      </c>
      <c r="L6" s="553" t="s">
        <v>240</v>
      </c>
      <c r="M6" s="552" t="s">
        <v>241</v>
      </c>
      <c r="N6" s="552" t="s">
        <v>242</v>
      </c>
      <c r="O6" s="554" t="s">
        <v>29</v>
      </c>
    </row>
    <row r="7" spans="1:15" x14ac:dyDescent="0.2">
      <c r="A7" s="555" t="s">
        <v>359</v>
      </c>
      <c r="B7" s="556">
        <v>3.6200000000000003E-2</v>
      </c>
      <c r="C7" s="557">
        <v>1282625.6938</v>
      </c>
      <c r="D7" s="558">
        <v>1481816.3748000001</v>
      </c>
      <c r="E7" s="557">
        <v>1251617.6064000002</v>
      </c>
      <c r="F7" s="558">
        <v>1381239.9962000002</v>
      </c>
      <c r="G7" s="557">
        <v>1168265.4774000002</v>
      </c>
      <c r="H7" s="557">
        <v>1251296.9468</v>
      </c>
      <c r="I7" s="559">
        <v>1399713.6526000001</v>
      </c>
      <c r="J7" s="558">
        <v>1203735.8302000002</v>
      </c>
      <c r="K7" s="557">
        <v>1342607.4648000002</v>
      </c>
      <c r="L7" s="558">
        <v>1339480.6536000001</v>
      </c>
      <c r="M7" s="557">
        <v>1203349.6486000002</v>
      </c>
      <c r="N7" s="557">
        <v>1349792.9476000001</v>
      </c>
      <c r="O7" s="560">
        <f t="shared" ref="O7:O27" si="0">SUM(C7:N7)</f>
        <v>15655542.2928</v>
      </c>
    </row>
    <row r="8" spans="1:15" x14ac:dyDescent="0.2">
      <c r="A8" s="555" t="s">
        <v>33</v>
      </c>
      <c r="B8" s="556">
        <v>2.47E-2</v>
      </c>
      <c r="C8" s="557">
        <v>875161.73029999994</v>
      </c>
      <c r="D8" s="558">
        <v>1011073.6038</v>
      </c>
      <c r="E8" s="557">
        <v>854004.27839999995</v>
      </c>
      <c r="F8" s="558">
        <v>942448.28469999996</v>
      </c>
      <c r="G8" s="557">
        <v>797131.41689999995</v>
      </c>
      <c r="H8" s="557">
        <v>853785.48580000002</v>
      </c>
      <c r="I8" s="557">
        <v>955053.23809999996</v>
      </c>
      <c r="J8" s="558">
        <v>821333.56369999994</v>
      </c>
      <c r="K8" s="557">
        <v>916088.51879999996</v>
      </c>
      <c r="L8" s="558">
        <v>913955.03159999999</v>
      </c>
      <c r="M8" s="557">
        <v>821070.06409999996</v>
      </c>
      <c r="N8" s="557">
        <v>920991.32059999998</v>
      </c>
      <c r="O8" s="560">
        <f t="shared" si="0"/>
        <v>10682096.536799997</v>
      </c>
    </row>
    <row r="9" spans="1:15" x14ac:dyDescent="0.2">
      <c r="A9" s="555" t="s">
        <v>32</v>
      </c>
      <c r="B9" s="556">
        <v>2.3300000000000001E-2</v>
      </c>
      <c r="C9" s="557">
        <v>825557.42170000006</v>
      </c>
      <c r="D9" s="558">
        <v>953765.78820000007</v>
      </c>
      <c r="E9" s="557">
        <v>805599.17760000005</v>
      </c>
      <c r="F9" s="558">
        <v>889030.16330000001</v>
      </c>
      <c r="G9" s="557">
        <v>751949.87910000002</v>
      </c>
      <c r="H9" s="557">
        <v>805392.78620000009</v>
      </c>
      <c r="I9" s="557">
        <v>900920.66590000002</v>
      </c>
      <c r="J9" s="558">
        <v>774780.24430000002</v>
      </c>
      <c r="K9" s="557">
        <v>864164.47320000001</v>
      </c>
      <c r="L9" s="558">
        <v>862151.91240000003</v>
      </c>
      <c r="M9" s="557">
        <v>774531.67989999999</v>
      </c>
      <c r="N9" s="557">
        <v>868789.38340000005</v>
      </c>
      <c r="O9" s="560">
        <f t="shared" si="0"/>
        <v>10076633.575200001</v>
      </c>
    </row>
    <row r="10" spans="1:15" x14ac:dyDescent="0.2">
      <c r="A10" s="555" t="s">
        <v>360</v>
      </c>
      <c r="B10" s="556">
        <v>2.81E-2</v>
      </c>
      <c r="C10" s="557">
        <v>995629.33689999999</v>
      </c>
      <c r="D10" s="558">
        <v>1150249.7274</v>
      </c>
      <c r="E10" s="557">
        <v>971559.52320000005</v>
      </c>
      <c r="F10" s="558">
        <v>1072178.0081</v>
      </c>
      <c r="G10" s="557">
        <v>906858.00870000001</v>
      </c>
      <c r="H10" s="557">
        <v>971310.61340000003</v>
      </c>
      <c r="I10" s="557">
        <v>1086518.0563000001</v>
      </c>
      <c r="J10" s="558">
        <v>934391.62509999995</v>
      </c>
      <c r="K10" s="557">
        <v>1042189.7724</v>
      </c>
      <c r="L10" s="558">
        <v>1039762.6068</v>
      </c>
      <c r="M10" s="557">
        <v>934091.85430000001</v>
      </c>
      <c r="N10" s="557">
        <v>1047767.4538</v>
      </c>
      <c r="O10" s="560">
        <f t="shared" si="0"/>
        <v>12152506.586399999</v>
      </c>
    </row>
    <row r="11" spans="1:15" x14ac:dyDescent="0.2">
      <c r="A11" s="555" t="s">
        <v>34</v>
      </c>
      <c r="B11" s="556">
        <v>4.6399999999999997E-2</v>
      </c>
      <c r="C11" s="557">
        <v>1644028.5135999999</v>
      </c>
      <c r="D11" s="558">
        <v>1899344.7455999998</v>
      </c>
      <c r="E11" s="557">
        <v>1604283.3407999999</v>
      </c>
      <c r="F11" s="558">
        <v>1770429.1664</v>
      </c>
      <c r="G11" s="557">
        <v>1497445.2527999999</v>
      </c>
      <c r="H11" s="557">
        <v>1603872.3295999998</v>
      </c>
      <c r="I11" s="557">
        <v>1794108.1072</v>
      </c>
      <c r="J11" s="558">
        <v>1542910.0144</v>
      </c>
      <c r="K11" s="557">
        <v>1720911.2255999998</v>
      </c>
      <c r="L11" s="558">
        <v>1716903.3791999999</v>
      </c>
      <c r="M11" s="557">
        <v>1542415.0192</v>
      </c>
      <c r="N11" s="557">
        <v>1730121.3472</v>
      </c>
      <c r="O11" s="560">
        <f t="shared" si="0"/>
        <v>20066772.441599999</v>
      </c>
    </row>
    <row r="12" spans="1:15" x14ac:dyDescent="0.2">
      <c r="A12" s="555" t="s">
        <v>361</v>
      </c>
      <c r="B12" s="556">
        <v>1.4999999999999999E-2</v>
      </c>
      <c r="C12" s="557">
        <v>531474.73499999999</v>
      </c>
      <c r="D12" s="558">
        <v>614012.30999999994</v>
      </c>
      <c r="E12" s="557">
        <v>518626.07999999996</v>
      </c>
      <c r="F12" s="558">
        <v>572337.01500000001</v>
      </c>
      <c r="G12" s="557">
        <v>484087.90499999997</v>
      </c>
      <c r="H12" s="557">
        <v>518493.20999999996</v>
      </c>
      <c r="I12" s="557">
        <v>579991.84499999997</v>
      </c>
      <c r="J12" s="558">
        <v>498785.565</v>
      </c>
      <c r="K12" s="557">
        <v>556329.05999999994</v>
      </c>
      <c r="L12" s="558">
        <v>555033.41999999993</v>
      </c>
      <c r="M12" s="557">
        <v>498625.54499999998</v>
      </c>
      <c r="N12" s="557">
        <v>559306.47</v>
      </c>
      <c r="O12" s="560">
        <f t="shared" si="0"/>
        <v>6487103.1599999992</v>
      </c>
    </row>
    <row r="13" spans="1:15" x14ac:dyDescent="0.2">
      <c r="A13" s="555" t="s">
        <v>47</v>
      </c>
      <c r="B13" s="556">
        <v>1.5299999999999999E-2</v>
      </c>
      <c r="C13" s="557">
        <v>542104.22970000003</v>
      </c>
      <c r="D13" s="558">
        <v>626292.55619999999</v>
      </c>
      <c r="E13" s="557">
        <v>528998.60159999994</v>
      </c>
      <c r="F13" s="558">
        <v>583783.75529999996</v>
      </c>
      <c r="G13" s="557">
        <v>493769.66310000001</v>
      </c>
      <c r="H13" s="557">
        <v>528863.07420000003</v>
      </c>
      <c r="I13" s="557">
        <v>591591.68189999997</v>
      </c>
      <c r="J13" s="558">
        <v>508761.27629999997</v>
      </c>
      <c r="K13" s="557">
        <v>567455.64119999995</v>
      </c>
      <c r="L13" s="558">
        <v>566134.08840000001</v>
      </c>
      <c r="M13" s="557">
        <v>508598.05589999998</v>
      </c>
      <c r="N13" s="557">
        <v>570492.59939999995</v>
      </c>
      <c r="O13" s="560">
        <f t="shared" si="0"/>
        <v>6616845.223199999</v>
      </c>
    </row>
    <row r="14" spans="1:15" x14ac:dyDescent="0.2">
      <c r="A14" s="555" t="s">
        <v>35</v>
      </c>
      <c r="B14" s="556">
        <v>3.1600000000000003E-2</v>
      </c>
      <c r="C14" s="557">
        <v>1119640.1084</v>
      </c>
      <c r="D14" s="558">
        <v>1293519.2664000001</v>
      </c>
      <c r="E14" s="557">
        <v>1092572.2752</v>
      </c>
      <c r="F14" s="558">
        <v>1205723.3116000001</v>
      </c>
      <c r="G14" s="557">
        <v>1019811.8532000001</v>
      </c>
      <c r="H14" s="557">
        <v>1092292.3624000002</v>
      </c>
      <c r="I14" s="557">
        <v>1221849.4868000001</v>
      </c>
      <c r="J14" s="558">
        <v>1050774.9236000001</v>
      </c>
      <c r="K14" s="557">
        <v>1171999.8864000002</v>
      </c>
      <c r="L14" s="558">
        <v>1169270.4048000001</v>
      </c>
      <c r="M14" s="557">
        <v>1050437.8148000001</v>
      </c>
      <c r="N14" s="557">
        <v>1178272.2968000001</v>
      </c>
      <c r="O14" s="560">
        <f t="shared" si="0"/>
        <v>13666163.9904</v>
      </c>
    </row>
    <row r="15" spans="1:15" x14ac:dyDescent="0.2">
      <c r="A15" s="555" t="s">
        <v>36</v>
      </c>
      <c r="B15" s="556">
        <v>2.81E-2</v>
      </c>
      <c r="C15" s="557">
        <v>995629.33689999999</v>
      </c>
      <c r="D15" s="558">
        <v>1150249.7274</v>
      </c>
      <c r="E15" s="557">
        <v>971559.52320000005</v>
      </c>
      <c r="F15" s="558">
        <v>1072178.0081</v>
      </c>
      <c r="G15" s="557">
        <v>906858.00870000001</v>
      </c>
      <c r="H15" s="557">
        <v>971310.61340000003</v>
      </c>
      <c r="I15" s="557">
        <v>1086518.0563000001</v>
      </c>
      <c r="J15" s="558">
        <v>934391.62509999995</v>
      </c>
      <c r="K15" s="557">
        <v>1042189.7724</v>
      </c>
      <c r="L15" s="558">
        <v>1039762.6068</v>
      </c>
      <c r="M15" s="557">
        <v>934091.85430000001</v>
      </c>
      <c r="N15" s="557">
        <v>1047767.4538</v>
      </c>
      <c r="O15" s="560">
        <f t="shared" si="0"/>
        <v>12152506.586399999</v>
      </c>
    </row>
    <row r="16" spans="1:15" x14ac:dyDescent="0.2">
      <c r="A16" s="555" t="s">
        <v>46</v>
      </c>
      <c r="B16" s="556">
        <v>1.6E-2</v>
      </c>
      <c r="C16" s="557">
        <v>566906.38399999996</v>
      </c>
      <c r="D16" s="558">
        <v>654946.46400000004</v>
      </c>
      <c r="E16" s="557">
        <v>553201.152</v>
      </c>
      <c r="F16" s="558">
        <v>610492.81599999999</v>
      </c>
      <c r="G16" s="557">
        <v>516360.43200000003</v>
      </c>
      <c r="H16" s="557">
        <v>553059.424</v>
      </c>
      <c r="I16" s="557">
        <v>618657.96799999999</v>
      </c>
      <c r="J16" s="558">
        <v>532037.93599999999</v>
      </c>
      <c r="K16" s="557">
        <v>593417.66399999999</v>
      </c>
      <c r="L16" s="558">
        <v>592035.64800000004</v>
      </c>
      <c r="M16" s="557">
        <v>531867.24800000002</v>
      </c>
      <c r="N16" s="557">
        <v>596593.56799999997</v>
      </c>
      <c r="O16" s="560">
        <f t="shared" si="0"/>
        <v>6919576.7039999999</v>
      </c>
    </row>
    <row r="17" spans="1:16" x14ac:dyDescent="0.2">
      <c r="A17" s="555" t="s">
        <v>37</v>
      </c>
      <c r="B17" s="556">
        <v>2.8400000000000002E-2</v>
      </c>
      <c r="C17" s="557">
        <v>1006258.8316</v>
      </c>
      <c r="D17" s="558">
        <v>1162529.9736000001</v>
      </c>
      <c r="E17" s="557">
        <v>981932.04480000003</v>
      </c>
      <c r="F17" s="558">
        <v>1083624.7484000002</v>
      </c>
      <c r="G17" s="557">
        <v>916539.7668000001</v>
      </c>
      <c r="H17" s="557">
        <v>981680.4776000001</v>
      </c>
      <c r="I17" s="557">
        <v>1098117.8932</v>
      </c>
      <c r="J17" s="558">
        <v>944367.33640000003</v>
      </c>
      <c r="K17" s="557">
        <v>1053316.3536</v>
      </c>
      <c r="L17" s="558">
        <v>1050863.2752</v>
      </c>
      <c r="M17" s="557">
        <v>944064.3652</v>
      </c>
      <c r="N17" s="557">
        <v>1058953.5832</v>
      </c>
      <c r="O17" s="560">
        <f t="shared" si="0"/>
        <v>12282248.649600001</v>
      </c>
    </row>
    <row r="18" spans="1:16" x14ac:dyDescent="0.2">
      <c r="A18" s="555" t="s">
        <v>38</v>
      </c>
      <c r="B18" s="556">
        <v>3.3300000000000003E-2</v>
      </c>
      <c r="C18" s="557">
        <v>1179873.9117000001</v>
      </c>
      <c r="D18" s="558">
        <v>1363107.3282000001</v>
      </c>
      <c r="E18" s="557">
        <v>1151349.8976</v>
      </c>
      <c r="F18" s="558">
        <v>1270588.1733000001</v>
      </c>
      <c r="G18" s="557">
        <v>1074675.1491</v>
      </c>
      <c r="H18" s="557">
        <v>1151054.9262000001</v>
      </c>
      <c r="I18" s="557">
        <v>1287581.8959000001</v>
      </c>
      <c r="J18" s="558">
        <v>1107303.9543000001</v>
      </c>
      <c r="K18" s="557">
        <v>1235050.5132000002</v>
      </c>
      <c r="L18" s="558">
        <v>1232174.1924000001</v>
      </c>
      <c r="M18" s="557">
        <v>1106948.7099000001</v>
      </c>
      <c r="N18" s="557">
        <v>1241660.3634000001</v>
      </c>
      <c r="O18" s="560">
        <f t="shared" si="0"/>
        <v>14401369.0152</v>
      </c>
    </row>
    <row r="19" spans="1:16" x14ac:dyDescent="0.2">
      <c r="A19" s="555" t="s">
        <v>39</v>
      </c>
      <c r="B19" s="556">
        <v>4.6899999999999997E-2</v>
      </c>
      <c r="C19" s="557">
        <v>1661744.3380999998</v>
      </c>
      <c r="D19" s="558">
        <v>1919811.8225999998</v>
      </c>
      <c r="E19" s="557">
        <v>1621570.8768</v>
      </c>
      <c r="F19" s="558">
        <v>1789507.0669</v>
      </c>
      <c r="G19" s="557">
        <v>1513581.5163</v>
      </c>
      <c r="H19" s="557">
        <v>1621155.4365999999</v>
      </c>
      <c r="I19" s="557">
        <v>1813441.1686999998</v>
      </c>
      <c r="J19" s="558">
        <v>1559536.1998999999</v>
      </c>
      <c r="K19" s="557">
        <v>1739455.5275999999</v>
      </c>
      <c r="L19" s="558">
        <v>1735404.4931999999</v>
      </c>
      <c r="M19" s="557">
        <v>1559035.8706999999</v>
      </c>
      <c r="N19" s="557">
        <v>1748764.8961999998</v>
      </c>
      <c r="O19" s="560">
        <f t="shared" si="0"/>
        <v>20283009.213600002</v>
      </c>
    </row>
    <row r="20" spans="1:16" x14ac:dyDescent="0.2">
      <c r="A20" s="555" t="s">
        <v>362</v>
      </c>
      <c r="B20" s="556">
        <v>2.1299999999999999E-2</v>
      </c>
      <c r="C20" s="557">
        <v>754694.1237</v>
      </c>
      <c r="D20" s="558">
        <v>871897.48019999999</v>
      </c>
      <c r="E20" s="557">
        <v>736449.03359999997</v>
      </c>
      <c r="F20" s="558">
        <v>812718.56129999994</v>
      </c>
      <c r="G20" s="557">
        <v>687404.82510000002</v>
      </c>
      <c r="H20" s="557">
        <v>736260.35820000002</v>
      </c>
      <c r="I20" s="557">
        <v>823588.41989999998</v>
      </c>
      <c r="J20" s="558">
        <v>708275.50229999993</v>
      </c>
      <c r="K20" s="557">
        <v>789987.26520000002</v>
      </c>
      <c r="L20" s="558">
        <v>788147.45640000002</v>
      </c>
      <c r="M20" s="557">
        <v>708048.27390000003</v>
      </c>
      <c r="N20" s="557">
        <v>794215.18739999994</v>
      </c>
      <c r="O20" s="560">
        <f t="shared" si="0"/>
        <v>9211686.4872000013</v>
      </c>
    </row>
    <row r="21" spans="1:16" x14ac:dyDescent="0.2">
      <c r="A21" s="555" t="s">
        <v>363</v>
      </c>
      <c r="B21" s="556">
        <v>2.81E-2</v>
      </c>
      <c r="C21" s="557">
        <v>995629.33689999999</v>
      </c>
      <c r="D21" s="558">
        <v>1150249.7274</v>
      </c>
      <c r="E21" s="557">
        <v>971559.52320000005</v>
      </c>
      <c r="F21" s="558">
        <v>1072178.0081</v>
      </c>
      <c r="G21" s="557">
        <v>906858.00870000001</v>
      </c>
      <c r="H21" s="557">
        <v>971310.61340000003</v>
      </c>
      <c r="I21" s="557">
        <v>1086518.0563000001</v>
      </c>
      <c r="J21" s="558">
        <v>934391.62509999995</v>
      </c>
      <c r="K21" s="557">
        <v>1042189.7724</v>
      </c>
      <c r="L21" s="558">
        <v>1039762.6068</v>
      </c>
      <c r="M21" s="557">
        <v>934091.85430000001</v>
      </c>
      <c r="N21" s="557">
        <v>1047767.4538</v>
      </c>
      <c r="O21" s="560">
        <f t="shared" si="0"/>
        <v>12152506.586399999</v>
      </c>
    </row>
    <row r="22" spans="1:16" x14ac:dyDescent="0.2">
      <c r="A22" s="555" t="s">
        <v>364</v>
      </c>
      <c r="B22" s="556">
        <v>8.3400000000000002E-2</v>
      </c>
      <c r="C22" s="557">
        <v>2954999.5266</v>
      </c>
      <c r="D22" s="558">
        <v>3413908.4435999999</v>
      </c>
      <c r="E22" s="557">
        <v>2883561.0048000002</v>
      </c>
      <c r="F22" s="558">
        <v>3182193.8034000001</v>
      </c>
      <c r="G22" s="557">
        <v>2691528.7518000002</v>
      </c>
      <c r="H22" s="557">
        <v>2882822.2475999999</v>
      </c>
      <c r="I22" s="557">
        <v>3224754.6581999999</v>
      </c>
      <c r="J22" s="558">
        <v>2773247.7414000002</v>
      </c>
      <c r="K22" s="557">
        <v>3093189.5736000002</v>
      </c>
      <c r="L22" s="558">
        <v>3085985.8152000001</v>
      </c>
      <c r="M22" s="557">
        <v>2772358.0301999999</v>
      </c>
      <c r="N22" s="557">
        <v>3109743.9731999999</v>
      </c>
      <c r="O22" s="560">
        <f t="shared" si="0"/>
        <v>36068293.569600001</v>
      </c>
    </row>
    <row r="23" spans="1:16" x14ac:dyDescent="0.2">
      <c r="A23" s="555" t="s">
        <v>42</v>
      </c>
      <c r="B23" s="556">
        <v>3.5000000000000003E-2</v>
      </c>
      <c r="C23" s="557">
        <v>1240107.7150000001</v>
      </c>
      <c r="D23" s="558">
        <v>1432695.3900000001</v>
      </c>
      <c r="E23" s="557">
        <v>1210127.52</v>
      </c>
      <c r="F23" s="558">
        <v>1335453.0350000001</v>
      </c>
      <c r="G23" s="557">
        <v>1129538.4450000001</v>
      </c>
      <c r="H23" s="557">
        <v>1209817.4900000002</v>
      </c>
      <c r="I23" s="557">
        <v>1353314.3050000002</v>
      </c>
      <c r="J23" s="558">
        <v>1163832.9850000001</v>
      </c>
      <c r="K23" s="557">
        <v>1298101.1400000001</v>
      </c>
      <c r="L23" s="558">
        <v>1295077.9800000002</v>
      </c>
      <c r="M23" s="557">
        <v>1163459.6050000002</v>
      </c>
      <c r="N23" s="557">
        <v>1305048.4300000002</v>
      </c>
      <c r="O23" s="560">
        <f t="shared" si="0"/>
        <v>15136574.040000001</v>
      </c>
    </row>
    <row r="24" spans="1:16" x14ac:dyDescent="0.2">
      <c r="A24" s="555" t="s">
        <v>30</v>
      </c>
      <c r="B24" s="556">
        <v>0.39</v>
      </c>
      <c r="C24" s="557">
        <v>13818343.110000001</v>
      </c>
      <c r="D24" s="558">
        <v>15964320.060000001</v>
      </c>
      <c r="E24" s="557">
        <v>13484278.08</v>
      </c>
      <c r="F24" s="558">
        <v>14880762.390000001</v>
      </c>
      <c r="G24" s="557">
        <v>12586285.530000001</v>
      </c>
      <c r="H24" s="557">
        <v>13480823.460000001</v>
      </c>
      <c r="I24" s="557">
        <v>15079787.970000001</v>
      </c>
      <c r="J24" s="558">
        <v>12968424.690000001</v>
      </c>
      <c r="K24" s="557">
        <v>14464555.560000001</v>
      </c>
      <c r="L24" s="558">
        <v>14430868.92</v>
      </c>
      <c r="M24" s="557">
        <v>12964264.17</v>
      </c>
      <c r="N24" s="557">
        <v>14541968.220000001</v>
      </c>
      <c r="O24" s="560">
        <f t="shared" si="0"/>
        <v>168664682.15999997</v>
      </c>
    </row>
    <row r="25" spans="1:16" x14ac:dyDescent="0.2">
      <c r="A25" s="555" t="s">
        <v>43</v>
      </c>
      <c r="B25" s="556">
        <v>3.7900000000000003E-2</v>
      </c>
      <c r="C25" s="557">
        <v>1342859.4971</v>
      </c>
      <c r="D25" s="558">
        <v>1551404.4366000001</v>
      </c>
      <c r="E25" s="557">
        <v>1310395.2288000002</v>
      </c>
      <c r="F25" s="558">
        <v>1446104.8579000002</v>
      </c>
      <c r="G25" s="557">
        <v>1223128.7733</v>
      </c>
      <c r="H25" s="557">
        <v>1310059.5106000002</v>
      </c>
      <c r="I25" s="557">
        <v>1465446.0617000002</v>
      </c>
      <c r="J25" s="558">
        <v>1260264.8609000002</v>
      </c>
      <c r="K25" s="557">
        <v>1405658.0916000002</v>
      </c>
      <c r="L25" s="558">
        <v>1402384.4412</v>
      </c>
      <c r="M25" s="557">
        <v>1259860.5437</v>
      </c>
      <c r="N25" s="557">
        <v>1413181.0142000001</v>
      </c>
      <c r="O25" s="560">
        <f t="shared" si="0"/>
        <v>16390747.317600001</v>
      </c>
    </row>
    <row r="26" spans="1:16" ht="13.5" thickBot="1" x14ac:dyDescent="0.25">
      <c r="A26" s="555" t="s">
        <v>44</v>
      </c>
      <c r="B26" s="556">
        <v>3.1E-2</v>
      </c>
      <c r="C26" s="557">
        <v>1098381.1189999999</v>
      </c>
      <c r="D26" s="558">
        <v>1268958.774</v>
      </c>
      <c r="E26" s="557">
        <v>1071827.2320000001</v>
      </c>
      <c r="F26" s="558">
        <v>1182829.831</v>
      </c>
      <c r="G26" s="557">
        <v>1000448.3369999999</v>
      </c>
      <c r="H26" s="557">
        <v>1071552.6340000001</v>
      </c>
      <c r="I26" s="561">
        <v>1198649.8130000001</v>
      </c>
      <c r="J26" s="558">
        <v>1030823.501</v>
      </c>
      <c r="K26" s="557">
        <v>1149746.7239999999</v>
      </c>
      <c r="L26" s="558">
        <v>1147069.068</v>
      </c>
      <c r="M26" s="557">
        <v>1030492.7929999999</v>
      </c>
      <c r="N26" s="557">
        <v>1155900.0379999999</v>
      </c>
      <c r="O26" s="560">
        <f t="shared" si="0"/>
        <v>13406679.864</v>
      </c>
    </row>
    <row r="27" spans="1:16" ht="13.5" thickBot="1" x14ac:dyDescent="0.25">
      <c r="A27" s="562" t="s">
        <v>365</v>
      </c>
      <c r="B27" s="563">
        <f t="shared" ref="B27:N27" si="1">SUM(B7:B26)</f>
        <v>1</v>
      </c>
      <c r="C27" s="564">
        <f t="shared" si="1"/>
        <v>35431649.000000007</v>
      </c>
      <c r="D27" s="564">
        <f t="shared" si="1"/>
        <v>40934153.999999993</v>
      </c>
      <c r="E27" s="564">
        <f t="shared" si="1"/>
        <v>34575072</v>
      </c>
      <c r="F27" s="564">
        <f t="shared" si="1"/>
        <v>38155801</v>
      </c>
      <c r="G27" s="564">
        <f t="shared" si="1"/>
        <v>32272527</v>
      </c>
      <c r="H27" s="564">
        <f t="shared" si="1"/>
        <v>34566214.000000007</v>
      </c>
      <c r="I27" s="564">
        <f t="shared" si="1"/>
        <v>38666123.000000007</v>
      </c>
      <c r="J27" s="564">
        <f t="shared" si="1"/>
        <v>33252371</v>
      </c>
      <c r="K27" s="564">
        <f t="shared" si="1"/>
        <v>37088604</v>
      </c>
      <c r="L27" s="564">
        <f t="shared" si="1"/>
        <v>37002228</v>
      </c>
      <c r="M27" s="564">
        <f t="shared" si="1"/>
        <v>33241703</v>
      </c>
      <c r="N27" s="564">
        <f t="shared" si="1"/>
        <v>37287098.000000007</v>
      </c>
      <c r="O27" s="564">
        <f t="shared" si="0"/>
        <v>432473544</v>
      </c>
    </row>
    <row r="28" spans="1:16" x14ac:dyDescent="0.2">
      <c r="A28" s="565" t="s">
        <v>366</v>
      </c>
      <c r="B28" s="566"/>
      <c r="C28" s="566"/>
      <c r="D28" s="566"/>
      <c r="E28" s="566"/>
      <c r="F28" s="566"/>
      <c r="G28" s="566"/>
      <c r="H28" s="566"/>
      <c r="I28" s="566"/>
      <c r="J28" s="566"/>
      <c r="K28" s="566"/>
      <c r="L28" s="566"/>
      <c r="M28" s="566"/>
      <c r="N28" s="566"/>
      <c r="O28" s="566"/>
      <c r="P28" s="567"/>
    </row>
    <row r="29" spans="1:16" x14ac:dyDescent="0.2">
      <c r="A29" s="565"/>
      <c r="O29" s="567"/>
    </row>
    <row r="30" spans="1:16" x14ac:dyDescent="0.2">
      <c r="A30" s="549" t="s">
        <v>367</v>
      </c>
      <c r="B30" s="532"/>
      <c r="C30" s="532"/>
      <c r="D30" s="532"/>
      <c r="E30" s="532"/>
      <c r="F30" s="532"/>
      <c r="G30" s="532"/>
      <c r="H30" s="532"/>
      <c r="I30" s="532"/>
      <c r="J30" s="532"/>
      <c r="K30" s="532"/>
      <c r="L30" s="532"/>
      <c r="M30" s="532"/>
      <c r="N30" s="532"/>
      <c r="O30" s="532"/>
    </row>
    <row r="31" spans="1:16" ht="27" customHeight="1" x14ac:dyDescent="0.2">
      <c r="A31" s="749" t="s">
        <v>368</v>
      </c>
      <c r="B31" s="749"/>
      <c r="C31" s="749"/>
      <c r="D31" s="749"/>
      <c r="E31" s="749"/>
      <c r="F31" s="749"/>
      <c r="G31" s="749"/>
      <c r="H31" s="749"/>
      <c r="I31" s="749"/>
      <c r="J31" s="749"/>
      <c r="K31" s="749"/>
      <c r="L31" s="749"/>
      <c r="M31" s="749"/>
      <c r="N31" s="749"/>
      <c r="O31" s="749"/>
    </row>
    <row r="32" spans="1:16" x14ac:dyDescent="0.2">
      <c r="O32" s="567"/>
    </row>
  </sheetData>
  <mergeCells count="5">
    <mergeCell ref="A1:O1"/>
    <mergeCell ref="A2:O2"/>
    <mergeCell ref="A3:O3"/>
    <mergeCell ref="A4:O4"/>
    <mergeCell ref="A31:O31"/>
  </mergeCells>
  <printOptions horizontalCentered="1"/>
  <pageMargins left="0.47244094488188981" right="0.78740157480314965" top="0.98425196850393704" bottom="0.98425196850393704" header="0" footer="0"/>
  <pageSetup paperSize="5" scale="9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31"/>
  <sheetViews>
    <sheetView zoomScaleNormal="100" workbookViewId="0">
      <selection activeCell="F38" sqref="F38"/>
    </sheetView>
  </sheetViews>
  <sheetFormatPr baseColWidth="10" defaultColWidth="11.42578125" defaultRowHeight="12.75" x14ac:dyDescent="0.2"/>
  <cols>
    <col min="1" max="1" width="16.85546875" style="551" customWidth="1"/>
    <col min="2" max="2" width="9.28515625" style="551" bestFit="1" customWidth="1"/>
    <col min="3" max="8" width="10" style="551" bestFit="1" customWidth="1"/>
    <col min="9" max="10" width="11.7109375" style="551" bestFit="1" customWidth="1"/>
    <col min="11" max="11" width="15.28515625" style="551" bestFit="1" customWidth="1"/>
    <col min="12" max="14" width="11.7109375" style="551" bestFit="1" customWidth="1"/>
    <col min="15" max="15" width="13" style="551" bestFit="1" customWidth="1"/>
    <col min="16" max="16384" width="11.42578125" style="551"/>
  </cols>
  <sheetData>
    <row r="1" spans="1:15" ht="15.75" x14ac:dyDescent="0.25">
      <c r="A1" s="750" t="s">
        <v>354</v>
      </c>
      <c r="B1" s="750"/>
      <c r="C1" s="750"/>
      <c r="D1" s="750"/>
      <c r="E1" s="750"/>
      <c r="F1" s="750"/>
      <c r="G1" s="750"/>
      <c r="H1" s="750"/>
      <c r="I1" s="750"/>
      <c r="J1" s="750"/>
      <c r="K1" s="750"/>
      <c r="L1" s="750"/>
      <c r="M1" s="750"/>
      <c r="N1" s="750"/>
      <c r="O1" s="750"/>
    </row>
    <row r="2" spans="1:15" x14ac:dyDescent="0.2">
      <c r="A2" s="751" t="s">
        <v>355</v>
      </c>
      <c r="B2" s="751"/>
      <c r="C2" s="751"/>
      <c r="D2" s="751"/>
      <c r="E2" s="751"/>
      <c r="F2" s="751"/>
      <c r="G2" s="751"/>
      <c r="H2" s="751"/>
      <c r="I2" s="751"/>
      <c r="J2" s="751"/>
      <c r="K2" s="751"/>
      <c r="L2" s="751"/>
      <c r="M2" s="751"/>
      <c r="N2" s="751"/>
      <c r="O2" s="751"/>
    </row>
    <row r="3" spans="1:15" x14ac:dyDescent="0.2">
      <c r="A3" s="751" t="s">
        <v>356</v>
      </c>
      <c r="B3" s="751"/>
      <c r="C3" s="751"/>
      <c r="D3" s="751"/>
      <c r="E3" s="751"/>
      <c r="F3" s="751"/>
      <c r="G3" s="751"/>
      <c r="H3" s="751"/>
      <c r="I3" s="751"/>
      <c r="J3" s="751"/>
      <c r="K3" s="751"/>
      <c r="L3" s="751"/>
      <c r="M3" s="751"/>
      <c r="N3" s="751"/>
      <c r="O3" s="751"/>
    </row>
    <row r="4" spans="1:15" x14ac:dyDescent="0.2">
      <c r="A4" s="752" t="s">
        <v>370</v>
      </c>
      <c r="B4" s="752"/>
      <c r="C4" s="752"/>
      <c r="D4" s="752"/>
      <c r="E4" s="752"/>
      <c r="F4" s="752"/>
      <c r="G4" s="752"/>
      <c r="H4" s="752"/>
      <c r="I4" s="752"/>
      <c r="J4" s="752"/>
      <c r="K4" s="752"/>
      <c r="L4" s="752"/>
      <c r="M4" s="752"/>
      <c r="N4" s="752"/>
      <c r="O4" s="752"/>
    </row>
    <row r="5" spans="1:15" ht="13.5" thickBot="1" x14ac:dyDescent="0.25"/>
    <row r="6" spans="1:15" ht="23.25" thickBot="1" x14ac:dyDescent="0.25">
      <c r="A6" s="552" t="s">
        <v>26</v>
      </c>
      <c r="B6" s="568" t="s">
        <v>358</v>
      </c>
      <c r="C6" s="552" t="s">
        <v>223</v>
      </c>
      <c r="D6" s="553" t="s">
        <v>224</v>
      </c>
      <c r="E6" s="552" t="s">
        <v>227</v>
      </c>
      <c r="F6" s="553" t="s">
        <v>230</v>
      </c>
      <c r="G6" s="552" t="s">
        <v>233</v>
      </c>
      <c r="H6" s="552" t="s">
        <v>235</v>
      </c>
      <c r="I6" s="552" t="s">
        <v>236</v>
      </c>
      <c r="J6" s="553" t="s">
        <v>238</v>
      </c>
      <c r="K6" s="552" t="s">
        <v>239</v>
      </c>
      <c r="L6" s="553" t="s">
        <v>240</v>
      </c>
      <c r="M6" s="552" t="s">
        <v>241</v>
      </c>
      <c r="N6" s="552" t="s">
        <v>242</v>
      </c>
      <c r="O6" s="554" t="s">
        <v>29</v>
      </c>
    </row>
    <row r="7" spans="1:15" x14ac:dyDescent="0.2">
      <c r="A7" s="555" t="s">
        <v>359</v>
      </c>
      <c r="B7" s="569">
        <v>3.9399999999999998E-2</v>
      </c>
      <c r="C7" s="557">
        <v>56963.546951054755</v>
      </c>
      <c r="D7" s="558">
        <v>86906.697217008536</v>
      </c>
      <c r="E7" s="557">
        <v>59746.246585840105</v>
      </c>
      <c r="F7" s="558">
        <v>67867.982827057887</v>
      </c>
      <c r="G7" s="557">
        <v>64660.762935787861</v>
      </c>
      <c r="H7" s="557">
        <v>67599.96159390721</v>
      </c>
      <c r="I7" s="559">
        <v>68696.572300394633</v>
      </c>
      <c r="J7" s="558">
        <v>71269.225402021868</v>
      </c>
      <c r="K7" s="557">
        <v>68949.326174828399</v>
      </c>
      <c r="L7" s="558">
        <v>67391.350673871697</v>
      </c>
      <c r="M7" s="557">
        <v>65860.428313614349</v>
      </c>
      <c r="N7" s="557">
        <v>66121.899024612852</v>
      </c>
      <c r="O7" s="560">
        <f>SUM(C7:N7)</f>
        <v>812034</v>
      </c>
    </row>
    <row r="8" spans="1:15" x14ac:dyDescent="0.2">
      <c r="A8" s="555" t="s">
        <v>33</v>
      </c>
      <c r="B8" s="570">
        <v>5.7799999999999997E-2</v>
      </c>
      <c r="C8" s="557">
        <v>83565.812532257987</v>
      </c>
      <c r="D8" s="558">
        <v>127492.56596809882</v>
      </c>
      <c r="E8" s="557">
        <v>87648.047021866951</v>
      </c>
      <c r="F8" s="558">
        <v>99562.675314820954</v>
      </c>
      <c r="G8" s="557">
        <v>94857.667454023816</v>
      </c>
      <c r="H8" s="557">
        <v>99169.486805275053</v>
      </c>
      <c r="I8" s="557">
        <v>100778.22027824391</v>
      </c>
      <c r="J8" s="558">
        <v>104552.31543748386</v>
      </c>
      <c r="K8" s="557">
        <v>101149.01149505284</v>
      </c>
      <c r="L8" s="558">
        <v>98863.453526644254</v>
      </c>
      <c r="M8" s="557">
        <v>96617.582652967249</v>
      </c>
      <c r="N8" s="557">
        <v>97001.161513264538</v>
      </c>
      <c r="O8" s="560">
        <f t="shared" ref="O8:O26" si="0">SUM(C8:N8)</f>
        <v>1191258.0000000002</v>
      </c>
    </row>
    <row r="9" spans="1:15" x14ac:dyDescent="0.2">
      <c r="A9" s="555" t="s">
        <v>32</v>
      </c>
      <c r="B9" s="570">
        <v>6.1199999999999997E-2</v>
      </c>
      <c r="C9" s="557">
        <v>88481.44856356729</v>
      </c>
      <c r="D9" s="558">
        <v>134992.12867210462</v>
      </c>
      <c r="E9" s="557">
        <v>92803.814493741476</v>
      </c>
      <c r="F9" s="558">
        <v>105419.30327451631</v>
      </c>
      <c r="G9" s="557">
        <v>100437.53024543698</v>
      </c>
      <c r="H9" s="557">
        <v>105002.98602911476</v>
      </c>
      <c r="I9" s="557">
        <v>106706.3508828465</v>
      </c>
      <c r="J9" s="558">
        <v>110702.45163968879</v>
      </c>
      <c r="K9" s="557">
        <v>107098.95334770301</v>
      </c>
      <c r="L9" s="558">
        <v>104678.95079291746</v>
      </c>
      <c r="M9" s="557">
        <v>102300.96986784769</v>
      </c>
      <c r="N9" s="557">
        <v>102707.1121905154</v>
      </c>
      <c r="O9" s="560">
        <f t="shared" si="0"/>
        <v>1261332.0000000005</v>
      </c>
    </row>
    <row r="10" spans="1:15" x14ac:dyDescent="0.2">
      <c r="A10" s="555" t="s">
        <v>360</v>
      </c>
      <c r="B10" s="570">
        <v>5.0799999999999998E-2</v>
      </c>
      <c r="C10" s="557">
        <v>73445.385408974151</v>
      </c>
      <c r="D10" s="558">
        <v>112052.28981279273</v>
      </c>
      <c r="E10" s="557">
        <v>77033.231638595869</v>
      </c>
      <c r="F10" s="558">
        <v>87504.911868389361</v>
      </c>
      <c r="G10" s="557">
        <v>83369.714648173191</v>
      </c>
      <c r="H10" s="557">
        <v>87159.341344428598</v>
      </c>
      <c r="I10" s="557">
        <v>88573.245504062128</v>
      </c>
      <c r="J10" s="558">
        <v>91890.270315297239</v>
      </c>
      <c r="K10" s="557">
        <v>88899.131210184845</v>
      </c>
      <c r="L10" s="558">
        <v>86890.370919611218</v>
      </c>
      <c r="M10" s="557">
        <v>84916.491328213437</v>
      </c>
      <c r="N10" s="557">
        <v>85253.616001277493</v>
      </c>
      <c r="O10" s="560">
        <f t="shared" si="0"/>
        <v>1046988.0000000002</v>
      </c>
    </row>
    <row r="11" spans="1:15" x14ac:dyDescent="0.2">
      <c r="A11" s="555" t="s">
        <v>34</v>
      </c>
      <c r="B11" s="570">
        <v>3.0700000000000002E-2</v>
      </c>
      <c r="C11" s="557">
        <v>44385.301812116275</v>
      </c>
      <c r="D11" s="558">
        <v>67716.63970969955</v>
      </c>
      <c r="E11" s="557">
        <v>46553.54746663176</v>
      </c>
      <c r="F11" s="558">
        <v>52881.905400778611</v>
      </c>
      <c r="G11" s="557">
        <v>50382.878734230646</v>
      </c>
      <c r="H11" s="557">
        <v>52673.066521140907</v>
      </c>
      <c r="I11" s="557">
        <v>53527.532223911563</v>
      </c>
      <c r="J11" s="558">
        <v>55532.112178732787</v>
      </c>
      <c r="K11" s="557">
        <v>53724.474963635337</v>
      </c>
      <c r="L11" s="558">
        <v>52510.519433702058</v>
      </c>
      <c r="M11" s="557">
        <v>51317.643381420326</v>
      </c>
      <c r="N11" s="557">
        <v>51521.378174000376</v>
      </c>
      <c r="O11" s="560">
        <f t="shared" si="0"/>
        <v>632727.00000000023</v>
      </c>
    </row>
    <row r="12" spans="1:15" x14ac:dyDescent="0.2">
      <c r="A12" s="555" t="s">
        <v>361</v>
      </c>
      <c r="B12" s="570">
        <v>9.5100000000000004E-2</v>
      </c>
      <c r="C12" s="557">
        <v>137493.23134632761</v>
      </c>
      <c r="D12" s="558">
        <v>209767.18033851555</v>
      </c>
      <c r="E12" s="557">
        <v>144209.84899272575</v>
      </c>
      <c r="F12" s="558">
        <v>163813.32910794936</v>
      </c>
      <c r="G12" s="557">
        <v>156072.0445480565</v>
      </c>
      <c r="H12" s="557">
        <v>163166.40476092836</v>
      </c>
      <c r="I12" s="557">
        <v>165813.30014638402</v>
      </c>
      <c r="J12" s="558">
        <v>172022.92730284977</v>
      </c>
      <c r="K12" s="557">
        <v>166423.37358442086</v>
      </c>
      <c r="L12" s="558">
        <v>162662.87941840605</v>
      </c>
      <c r="M12" s="557">
        <v>158967.68356915549</v>
      </c>
      <c r="N12" s="557">
        <v>159598.7968842813</v>
      </c>
      <c r="O12" s="560">
        <f t="shared" si="0"/>
        <v>1960011.0000000005</v>
      </c>
    </row>
    <row r="13" spans="1:15" x14ac:dyDescent="0.2">
      <c r="A13" s="555" t="s">
        <v>47</v>
      </c>
      <c r="B13" s="570">
        <v>9.3299999999999994E-2</v>
      </c>
      <c r="C13" s="557">
        <v>134890.83580034031</v>
      </c>
      <c r="D13" s="558">
        <v>205796.82361286538</v>
      </c>
      <c r="E13" s="557">
        <v>141480.32503702745</v>
      </c>
      <c r="F13" s="558">
        <v>160712.76136458124</v>
      </c>
      <c r="G13" s="557">
        <v>153117.99954083774</v>
      </c>
      <c r="H13" s="557">
        <v>160078.08164242495</v>
      </c>
      <c r="I13" s="557">
        <v>162674.87806159441</v>
      </c>
      <c r="J13" s="558">
        <v>168766.9728428589</v>
      </c>
      <c r="K13" s="557">
        <v>163273.40436831192</v>
      </c>
      <c r="L13" s="558">
        <v>159584.08674802611</v>
      </c>
      <c r="M13" s="557">
        <v>155958.83151421876</v>
      </c>
      <c r="N13" s="557">
        <v>156577.99946691317</v>
      </c>
      <c r="O13" s="560">
        <f t="shared" si="0"/>
        <v>1922913.0000000005</v>
      </c>
    </row>
    <row r="14" spans="1:15" x14ac:dyDescent="0.2">
      <c r="A14" s="555" t="s">
        <v>35</v>
      </c>
      <c r="B14" s="570">
        <v>4.5199999999999997E-2</v>
      </c>
      <c r="C14" s="557">
        <v>65349.043710347076</v>
      </c>
      <c r="D14" s="558">
        <v>99700.068888547859</v>
      </c>
      <c r="E14" s="557">
        <v>68541.379331978998</v>
      </c>
      <c r="F14" s="558">
        <v>77858.701111244067</v>
      </c>
      <c r="G14" s="557">
        <v>74179.352403492667</v>
      </c>
      <c r="H14" s="557">
        <v>77551.224975751422</v>
      </c>
      <c r="I14" s="557">
        <v>78809.265684716695</v>
      </c>
      <c r="J14" s="558">
        <v>81760.634217547937</v>
      </c>
      <c r="K14" s="557">
        <v>79099.226982290449</v>
      </c>
      <c r="L14" s="558">
        <v>77311.90483398478</v>
      </c>
      <c r="M14" s="557">
        <v>75555.618268410384</v>
      </c>
      <c r="N14" s="557">
        <v>75855.579591687841</v>
      </c>
      <c r="O14" s="560">
        <f t="shared" si="0"/>
        <v>931572.00000000035</v>
      </c>
    </row>
    <row r="15" spans="1:15" x14ac:dyDescent="0.2">
      <c r="A15" s="555" t="s">
        <v>36</v>
      </c>
      <c r="B15" s="570">
        <v>5.0799999999999998E-2</v>
      </c>
      <c r="C15" s="557">
        <v>73445.385408974151</v>
      </c>
      <c r="D15" s="558">
        <v>112052.28981279273</v>
      </c>
      <c r="E15" s="557">
        <v>77033.231638595869</v>
      </c>
      <c r="F15" s="558">
        <v>87504.911868389361</v>
      </c>
      <c r="G15" s="557">
        <v>83369.714648173191</v>
      </c>
      <c r="H15" s="557">
        <v>87159.341344428598</v>
      </c>
      <c r="I15" s="557">
        <v>88573.245504062128</v>
      </c>
      <c r="J15" s="558">
        <v>91890.270315297239</v>
      </c>
      <c r="K15" s="557">
        <v>88899.131210184845</v>
      </c>
      <c r="L15" s="558">
        <v>86890.370919611218</v>
      </c>
      <c r="M15" s="557">
        <v>84916.491328213437</v>
      </c>
      <c r="N15" s="557">
        <v>85253.616001277493</v>
      </c>
      <c r="O15" s="560">
        <f t="shared" si="0"/>
        <v>1046988.0000000002</v>
      </c>
    </row>
    <row r="16" spans="1:15" x14ac:dyDescent="0.2">
      <c r="A16" s="555" t="s">
        <v>46</v>
      </c>
      <c r="B16" s="570">
        <v>8.9200000000000002E-2</v>
      </c>
      <c r="C16" s="557">
        <v>128963.15705670265</v>
      </c>
      <c r="D16" s="558">
        <v>196753.23329332899</v>
      </c>
      <c r="E16" s="557">
        <v>135263.07602682582</v>
      </c>
      <c r="F16" s="558">
        <v>153650.35706024274</v>
      </c>
      <c r="G16" s="557">
        <v>146389.34146883953</v>
      </c>
      <c r="H16" s="557">
        <v>153043.5678725006</v>
      </c>
      <c r="I16" s="557">
        <v>155526.24997957365</v>
      </c>
      <c r="J16" s="558">
        <v>161350.6321284353</v>
      </c>
      <c r="K16" s="557">
        <v>156098.47448717497</v>
      </c>
      <c r="L16" s="558">
        <v>152571.28122104963</v>
      </c>
      <c r="M16" s="557">
        <v>149105.33516686296</v>
      </c>
      <c r="N16" s="557">
        <v>149697.29423846363</v>
      </c>
      <c r="O16" s="560">
        <f t="shared" si="0"/>
        <v>1838412.0000000005</v>
      </c>
    </row>
    <row r="17" spans="1:15" x14ac:dyDescent="0.2">
      <c r="A17" s="555" t="s">
        <v>37</v>
      </c>
      <c r="B17" s="570">
        <v>5.0200000000000002E-2</v>
      </c>
      <c r="C17" s="557">
        <v>72577.9202269784</v>
      </c>
      <c r="D17" s="558">
        <v>110728.83757090935</v>
      </c>
      <c r="E17" s="557">
        <v>76123.390320029779</v>
      </c>
      <c r="F17" s="558">
        <v>86471.389287266647</v>
      </c>
      <c r="G17" s="557">
        <v>82385.032979100273</v>
      </c>
      <c r="H17" s="557">
        <v>86129.900304927476</v>
      </c>
      <c r="I17" s="557">
        <v>87527.104809132259</v>
      </c>
      <c r="J17" s="558">
        <v>90804.952161966954</v>
      </c>
      <c r="K17" s="557">
        <v>87849.141471481882</v>
      </c>
      <c r="L17" s="558">
        <v>85864.106696151255</v>
      </c>
      <c r="M17" s="557">
        <v>83913.540643234548</v>
      </c>
      <c r="N17" s="557">
        <v>84246.683528821464</v>
      </c>
      <c r="O17" s="560">
        <f t="shared" si="0"/>
        <v>1034622.0000000002</v>
      </c>
    </row>
    <row r="18" spans="1:15" x14ac:dyDescent="0.2">
      <c r="A18" s="555" t="s">
        <v>38</v>
      </c>
      <c r="B18" s="570">
        <v>4.2900000000000001E-2</v>
      </c>
      <c r="C18" s="557">
        <v>62023.760512696681</v>
      </c>
      <c r="D18" s="558">
        <v>94626.835294661578</v>
      </c>
      <c r="E18" s="557">
        <v>65053.654277475653</v>
      </c>
      <c r="F18" s="558">
        <v>73896.864550273691</v>
      </c>
      <c r="G18" s="557">
        <v>70404.739338713189</v>
      </c>
      <c r="H18" s="557">
        <v>73605.034324330452</v>
      </c>
      <c r="I18" s="557">
        <v>74799.05968748554</v>
      </c>
      <c r="J18" s="558">
        <v>77600.247963115195</v>
      </c>
      <c r="K18" s="557">
        <v>75074.266317262402</v>
      </c>
      <c r="L18" s="558">
        <v>73377.891977388223</v>
      </c>
      <c r="M18" s="557">
        <v>71710.973975991277</v>
      </c>
      <c r="N18" s="557">
        <v>71995.671780606383</v>
      </c>
      <c r="O18" s="560">
        <f t="shared" si="0"/>
        <v>884169.00000000023</v>
      </c>
    </row>
    <row r="19" spans="1:15" x14ac:dyDescent="0.2">
      <c r="A19" s="555" t="s">
        <v>39</v>
      </c>
      <c r="B19" s="570">
        <v>3.04E-2</v>
      </c>
      <c r="C19" s="557">
        <v>43951.569221118392</v>
      </c>
      <c r="D19" s="558">
        <v>67054.91358875786</v>
      </c>
      <c r="E19" s="557">
        <v>46098.626807348708</v>
      </c>
      <c r="F19" s="558">
        <v>52365.144110217254</v>
      </c>
      <c r="G19" s="557">
        <v>49890.537899694187</v>
      </c>
      <c r="H19" s="557">
        <v>52158.346001390346</v>
      </c>
      <c r="I19" s="557">
        <v>53004.461876446629</v>
      </c>
      <c r="J19" s="558">
        <v>54989.453102067637</v>
      </c>
      <c r="K19" s="557">
        <v>53199.480094283848</v>
      </c>
      <c r="L19" s="558">
        <v>51997.38732197207</v>
      </c>
      <c r="M19" s="557">
        <v>50816.168038930875</v>
      </c>
      <c r="N19" s="557">
        <v>51017.911937772355</v>
      </c>
      <c r="O19" s="560">
        <f t="shared" si="0"/>
        <v>626544.00000000023</v>
      </c>
    </row>
    <row r="20" spans="1:15" x14ac:dyDescent="0.2">
      <c r="A20" s="555" t="s">
        <v>362</v>
      </c>
      <c r="B20" s="570">
        <v>6.7000000000000004E-2</v>
      </c>
      <c r="C20" s="557">
        <v>96866.94532285961</v>
      </c>
      <c r="D20" s="558">
        <v>147785.50034364397</v>
      </c>
      <c r="E20" s="557">
        <v>101598.94723988039</v>
      </c>
      <c r="F20" s="558">
        <v>115410.02155870252</v>
      </c>
      <c r="G20" s="557">
        <v>109956.1197131418</v>
      </c>
      <c r="H20" s="557">
        <v>114954.24941095899</v>
      </c>
      <c r="I20" s="557">
        <v>116819.04426716856</v>
      </c>
      <c r="J20" s="558">
        <v>121193.86045521488</v>
      </c>
      <c r="K20" s="557">
        <v>117248.85415516507</v>
      </c>
      <c r="L20" s="558">
        <v>114599.50495303056</v>
      </c>
      <c r="M20" s="557">
        <v>111996.15982264372</v>
      </c>
      <c r="N20" s="557">
        <v>112440.7927575904</v>
      </c>
      <c r="O20" s="560">
        <f t="shared" si="0"/>
        <v>1380870.0000000002</v>
      </c>
    </row>
    <row r="21" spans="1:15" x14ac:dyDescent="0.2">
      <c r="A21" s="555" t="s">
        <v>363</v>
      </c>
      <c r="B21" s="570">
        <v>5.0799999999999998E-2</v>
      </c>
      <c r="C21" s="557">
        <v>73445.385408974151</v>
      </c>
      <c r="D21" s="558">
        <v>112052.28981279273</v>
      </c>
      <c r="E21" s="557">
        <v>77033.231638595869</v>
      </c>
      <c r="F21" s="558">
        <v>87504.911868389361</v>
      </c>
      <c r="G21" s="557">
        <v>83369.714648173191</v>
      </c>
      <c r="H21" s="557">
        <v>87159.341344428598</v>
      </c>
      <c r="I21" s="557">
        <v>88573.245504062128</v>
      </c>
      <c r="J21" s="558">
        <v>91890.270315297239</v>
      </c>
      <c r="K21" s="557">
        <v>88899.131210184845</v>
      </c>
      <c r="L21" s="558">
        <v>86890.370919611218</v>
      </c>
      <c r="M21" s="557">
        <v>84916.491328213437</v>
      </c>
      <c r="N21" s="557">
        <v>85253.616001277493</v>
      </c>
      <c r="O21" s="560">
        <f t="shared" si="0"/>
        <v>1046988.0000000002</v>
      </c>
    </row>
    <row r="22" spans="1:15" x14ac:dyDescent="0.2">
      <c r="A22" s="555" t="s">
        <v>364</v>
      </c>
      <c r="B22" s="570">
        <v>1.7000000000000001E-2</v>
      </c>
      <c r="C22" s="557">
        <v>24578.18015654647</v>
      </c>
      <c r="D22" s="558">
        <v>37497.813520029071</v>
      </c>
      <c r="E22" s="557">
        <v>25778.837359372636</v>
      </c>
      <c r="F22" s="558">
        <v>29283.139798476757</v>
      </c>
      <c r="G22" s="557">
        <v>27899.313957065831</v>
      </c>
      <c r="H22" s="557">
        <v>29167.496119198549</v>
      </c>
      <c r="I22" s="557">
        <v>29640.653023012917</v>
      </c>
      <c r="J22" s="558">
        <v>30750.68101102467</v>
      </c>
      <c r="K22" s="557">
        <v>29749.709263250839</v>
      </c>
      <c r="L22" s="558">
        <v>29077.486331365963</v>
      </c>
      <c r="M22" s="557">
        <v>28416.936074402136</v>
      </c>
      <c r="N22" s="557">
        <v>28529.75338625428</v>
      </c>
      <c r="O22" s="560">
        <f t="shared" si="0"/>
        <v>350370.00000000012</v>
      </c>
    </row>
    <row r="23" spans="1:15" x14ac:dyDescent="0.2">
      <c r="A23" s="555" t="s">
        <v>42</v>
      </c>
      <c r="B23" s="570">
        <v>4.0800000000000003E-2</v>
      </c>
      <c r="C23" s="557">
        <v>58987.632375711531</v>
      </c>
      <c r="D23" s="558">
        <v>89994.752448069761</v>
      </c>
      <c r="E23" s="557">
        <v>61869.20966249433</v>
      </c>
      <c r="F23" s="558">
        <v>70279.535516344215</v>
      </c>
      <c r="G23" s="557">
        <v>66958.353496957992</v>
      </c>
      <c r="H23" s="557">
        <v>70001.990686076519</v>
      </c>
      <c r="I23" s="557">
        <v>71137.567255230999</v>
      </c>
      <c r="J23" s="558">
        <v>73801.634426459204</v>
      </c>
      <c r="K23" s="557">
        <v>71399.302231802008</v>
      </c>
      <c r="L23" s="558">
        <v>69785.96719527831</v>
      </c>
      <c r="M23" s="557">
        <v>68200.646578565123</v>
      </c>
      <c r="N23" s="557">
        <v>68471.408127010276</v>
      </c>
      <c r="O23" s="560">
        <f t="shared" si="0"/>
        <v>840888.00000000023</v>
      </c>
    </row>
    <row r="24" spans="1:15" x14ac:dyDescent="0.2">
      <c r="A24" s="555" t="s">
        <v>30</v>
      </c>
      <c r="B24" s="570">
        <v>3.7000000000000002E-3</v>
      </c>
      <c r="C24" s="557">
        <v>5349.3686223071727</v>
      </c>
      <c r="D24" s="558">
        <v>8161.2888249475027</v>
      </c>
      <c r="E24" s="557">
        <v>5610.6881311575735</v>
      </c>
      <c r="F24" s="558">
        <v>6373.389250256706</v>
      </c>
      <c r="G24" s="557">
        <v>6072.2036259496217</v>
      </c>
      <c r="H24" s="557">
        <v>6348.2197435902726</v>
      </c>
      <c r="I24" s="557">
        <v>6451.2009520675174</v>
      </c>
      <c r="J24" s="558">
        <v>6692.795278870075</v>
      </c>
      <c r="K24" s="557">
        <v>6474.9367220016529</v>
      </c>
      <c r="L24" s="558">
        <v>6328.6293780031801</v>
      </c>
      <c r="M24" s="557">
        <v>6184.8625573698764</v>
      </c>
      <c r="N24" s="557">
        <v>6209.4169134788726</v>
      </c>
      <c r="O24" s="560">
        <f t="shared" si="0"/>
        <v>76257.000000000015</v>
      </c>
    </row>
    <row r="25" spans="1:15" x14ac:dyDescent="0.2">
      <c r="A25" s="555" t="s">
        <v>43</v>
      </c>
      <c r="B25" s="570">
        <v>3.7699999999999997E-2</v>
      </c>
      <c r="C25" s="557">
        <v>54505.728935400104</v>
      </c>
      <c r="D25" s="558">
        <v>83156.91586500562</v>
      </c>
      <c r="E25" s="557">
        <v>57168.362849902842</v>
      </c>
      <c r="F25" s="558">
        <v>64939.668847210211</v>
      </c>
      <c r="G25" s="557">
        <v>61870.831540081279</v>
      </c>
      <c r="H25" s="557">
        <v>64683.211981987362</v>
      </c>
      <c r="I25" s="557">
        <v>65732.506998093348</v>
      </c>
      <c r="J25" s="558">
        <v>68194.157300919396</v>
      </c>
      <c r="K25" s="557">
        <v>65974.355248503314</v>
      </c>
      <c r="L25" s="558">
        <v>64483.602040735095</v>
      </c>
      <c r="M25" s="557">
        <v>63018.734706174146</v>
      </c>
      <c r="N25" s="557">
        <v>63268.923685987422</v>
      </c>
      <c r="O25" s="560">
        <f t="shared" si="0"/>
        <v>776997</v>
      </c>
    </row>
    <row r="26" spans="1:15" ht="13.5" thickBot="1" x14ac:dyDescent="0.25">
      <c r="A26" s="555" t="s">
        <v>44</v>
      </c>
      <c r="B26" s="571">
        <v>4.5999999999999999E-2</v>
      </c>
      <c r="C26" s="557">
        <v>66505.663953008087</v>
      </c>
      <c r="D26" s="558">
        <v>101464.6718777257</v>
      </c>
      <c r="E26" s="557">
        <v>69754.501090067133</v>
      </c>
      <c r="F26" s="558">
        <v>79236.73121940768</v>
      </c>
      <c r="G26" s="557">
        <v>75492.261295589895</v>
      </c>
      <c r="H26" s="557">
        <v>78923.813028419594</v>
      </c>
      <c r="I26" s="561">
        <v>80204.119944623177</v>
      </c>
      <c r="J26" s="558">
        <v>83207.725088654974</v>
      </c>
      <c r="K26" s="557">
        <v>80499.213300561081</v>
      </c>
      <c r="L26" s="558">
        <v>78680.257131931416</v>
      </c>
      <c r="M26" s="557">
        <v>76892.885848382241</v>
      </c>
      <c r="N26" s="557">
        <v>77198.156221629222</v>
      </c>
      <c r="O26" s="560">
        <f t="shared" si="0"/>
        <v>948060.00000000023</v>
      </c>
    </row>
    <row r="27" spans="1:15" ht="13.5" thickBot="1" x14ac:dyDescent="0.25">
      <c r="A27" s="562" t="s">
        <v>365</v>
      </c>
      <c r="B27" s="572">
        <f>SUM(B7:B26)</f>
        <v>1</v>
      </c>
      <c r="C27" s="564">
        <f>SUM(C7:C26)</f>
        <v>1445775.3033262629</v>
      </c>
      <c r="D27" s="564">
        <f t="shared" ref="D27:O27" si="1">SUM(D7:D26)</f>
        <v>2205753.7364722979</v>
      </c>
      <c r="E27" s="564">
        <f t="shared" si="1"/>
        <v>1516402.197610155</v>
      </c>
      <c r="F27" s="564">
        <f t="shared" si="1"/>
        <v>1722537.6352045152</v>
      </c>
      <c r="G27" s="564">
        <f t="shared" si="1"/>
        <v>1641136.1151215194</v>
      </c>
      <c r="H27" s="564">
        <f t="shared" si="1"/>
        <v>1715735.0658352086</v>
      </c>
      <c r="I27" s="564">
        <f t="shared" si="1"/>
        <v>1743567.8248831125</v>
      </c>
      <c r="J27" s="564">
        <f t="shared" si="1"/>
        <v>1808863.5888838039</v>
      </c>
      <c r="K27" s="564">
        <f t="shared" si="1"/>
        <v>1749982.8978382845</v>
      </c>
      <c r="L27" s="564">
        <f t="shared" si="1"/>
        <v>1710440.3724332915</v>
      </c>
      <c r="M27" s="564">
        <f t="shared" si="1"/>
        <v>1671584.474964832</v>
      </c>
      <c r="N27" s="564">
        <f t="shared" si="1"/>
        <v>1678220.787426722</v>
      </c>
      <c r="O27" s="564">
        <f t="shared" si="1"/>
        <v>20610000.000000004</v>
      </c>
    </row>
    <row r="28" spans="1:15" x14ac:dyDescent="0.2">
      <c r="A28" s="565" t="s">
        <v>366</v>
      </c>
      <c r="B28" s="566"/>
      <c r="C28" s="566"/>
      <c r="D28" s="566"/>
      <c r="E28" s="566"/>
      <c r="F28" s="566"/>
      <c r="G28" s="566"/>
      <c r="H28" s="566"/>
      <c r="I28" s="566"/>
      <c r="J28" s="566"/>
      <c r="K28" s="566"/>
      <c r="L28" s="566"/>
      <c r="M28" s="566"/>
      <c r="N28" s="566"/>
      <c r="O28" s="566"/>
    </row>
    <row r="29" spans="1:15" x14ac:dyDescent="0.2">
      <c r="A29" s="565"/>
    </row>
    <row r="30" spans="1:15" x14ac:dyDescent="0.2">
      <c r="A30" s="573" t="s">
        <v>367</v>
      </c>
      <c r="B30" s="574"/>
      <c r="C30" s="574"/>
      <c r="D30" s="574"/>
      <c r="E30" s="574"/>
      <c r="F30" s="574"/>
      <c r="G30" s="574"/>
      <c r="H30" s="574"/>
      <c r="I30" s="574"/>
      <c r="J30" s="574"/>
      <c r="K30" s="574"/>
      <c r="L30" s="574"/>
      <c r="M30" s="574"/>
      <c r="N30" s="574"/>
      <c r="O30" s="574"/>
    </row>
    <row r="31" spans="1:15" ht="27" customHeight="1" x14ac:dyDescent="0.2">
      <c r="A31" s="753" t="s">
        <v>371</v>
      </c>
      <c r="B31" s="754"/>
      <c r="C31" s="754"/>
      <c r="D31" s="754"/>
      <c r="E31" s="754"/>
      <c r="F31" s="754"/>
      <c r="G31" s="754"/>
      <c r="H31" s="754"/>
      <c r="I31" s="754"/>
      <c r="J31" s="754"/>
      <c r="K31" s="754"/>
      <c r="L31" s="754"/>
      <c r="M31" s="754"/>
      <c r="N31" s="754"/>
      <c r="O31" s="754"/>
    </row>
  </sheetData>
  <mergeCells count="5">
    <mergeCell ref="A1:O1"/>
    <mergeCell ref="A2:O2"/>
    <mergeCell ref="A3:O3"/>
    <mergeCell ref="A4:O4"/>
    <mergeCell ref="A31:O31"/>
  </mergeCells>
  <printOptions horizontalCentered="1"/>
  <pageMargins left="0.23622047244094491" right="0.74803149606299213" top="0.98425196850393704" bottom="0.98425196850393704" header="0" footer="0"/>
  <pageSetup paperSize="5" scale="8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31"/>
  <sheetViews>
    <sheetView zoomScaleNormal="100" workbookViewId="0">
      <selection activeCell="F38" sqref="F38"/>
    </sheetView>
  </sheetViews>
  <sheetFormatPr baseColWidth="10" defaultColWidth="11.42578125" defaultRowHeight="12.75" x14ac:dyDescent="0.2"/>
  <cols>
    <col min="1" max="1" width="15.42578125" style="532" customWidth="1"/>
    <col min="2" max="2" width="9.28515625" style="532" customWidth="1"/>
    <col min="3" max="3" width="11.7109375" style="532" bestFit="1" customWidth="1"/>
    <col min="4" max="5" width="10.85546875" style="532" bestFit="1" customWidth="1"/>
    <col min="6" max="6" width="11.7109375" style="532" bestFit="1" customWidth="1"/>
    <col min="7" max="8" width="10.85546875" style="532" bestFit="1" customWidth="1"/>
    <col min="9" max="9" width="11.7109375" style="532" bestFit="1" customWidth="1"/>
    <col min="10" max="11" width="10.85546875" style="532" bestFit="1" customWidth="1"/>
    <col min="12" max="12" width="11.7109375" style="532" bestFit="1" customWidth="1"/>
    <col min="13" max="13" width="10.85546875" style="532" bestFit="1" customWidth="1"/>
    <col min="14" max="14" width="11.7109375" style="532" bestFit="1" customWidth="1"/>
    <col min="15" max="15" width="13" style="532" bestFit="1" customWidth="1"/>
    <col min="16" max="16384" width="11.42578125" style="532"/>
  </cols>
  <sheetData>
    <row r="1" spans="1:15" ht="15.75" x14ac:dyDescent="0.25">
      <c r="A1" s="746" t="s">
        <v>354</v>
      </c>
      <c r="B1" s="746"/>
      <c r="C1" s="746"/>
      <c r="D1" s="746"/>
      <c r="E1" s="746"/>
      <c r="F1" s="746"/>
      <c r="G1" s="746"/>
      <c r="H1" s="746"/>
      <c r="I1" s="746"/>
      <c r="J1" s="746"/>
      <c r="K1" s="746"/>
      <c r="L1" s="746"/>
      <c r="M1" s="746"/>
      <c r="N1" s="746"/>
      <c r="O1" s="746"/>
    </row>
    <row r="2" spans="1:15" x14ac:dyDescent="0.2">
      <c r="A2" s="747" t="s">
        <v>355</v>
      </c>
      <c r="B2" s="747"/>
      <c r="C2" s="747"/>
      <c r="D2" s="747"/>
      <c r="E2" s="747"/>
      <c r="F2" s="747"/>
      <c r="G2" s="747"/>
      <c r="H2" s="747"/>
      <c r="I2" s="747"/>
      <c r="J2" s="747"/>
      <c r="K2" s="747"/>
      <c r="L2" s="747"/>
      <c r="M2" s="747"/>
      <c r="N2" s="747"/>
      <c r="O2" s="747"/>
    </row>
    <row r="3" spans="1:15" x14ac:dyDescent="0.2">
      <c r="A3" s="747" t="s">
        <v>356</v>
      </c>
      <c r="B3" s="747"/>
      <c r="C3" s="747"/>
      <c r="D3" s="747"/>
      <c r="E3" s="747"/>
      <c r="F3" s="747"/>
      <c r="G3" s="747"/>
      <c r="H3" s="747"/>
      <c r="I3" s="747"/>
      <c r="J3" s="747"/>
      <c r="K3" s="747"/>
      <c r="L3" s="747"/>
      <c r="M3" s="747"/>
      <c r="N3" s="747"/>
      <c r="O3" s="747"/>
    </row>
    <row r="4" spans="1:15" x14ac:dyDescent="0.2">
      <c r="A4" s="748" t="s">
        <v>372</v>
      </c>
      <c r="B4" s="748"/>
      <c r="C4" s="748"/>
      <c r="D4" s="748"/>
      <c r="E4" s="748"/>
      <c r="F4" s="748"/>
      <c r="G4" s="748"/>
      <c r="H4" s="748"/>
      <c r="I4" s="748"/>
      <c r="J4" s="748"/>
      <c r="K4" s="748"/>
      <c r="L4" s="748"/>
      <c r="M4" s="748"/>
      <c r="N4" s="748"/>
      <c r="O4" s="748"/>
    </row>
    <row r="5" spans="1:15" ht="13.5" thickBot="1" x14ac:dyDescent="0.25"/>
    <row r="6" spans="1:15" ht="23.25" thickBot="1" x14ac:dyDescent="0.25">
      <c r="A6" s="533" t="s">
        <v>26</v>
      </c>
      <c r="B6" s="534" t="s">
        <v>358</v>
      </c>
      <c r="C6" s="533" t="s">
        <v>223</v>
      </c>
      <c r="D6" s="535" t="s">
        <v>224</v>
      </c>
      <c r="E6" s="533" t="s">
        <v>227</v>
      </c>
      <c r="F6" s="535" t="s">
        <v>230</v>
      </c>
      <c r="G6" s="533" t="s">
        <v>233</v>
      </c>
      <c r="H6" s="533" t="s">
        <v>235</v>
      </c>
      <c r="I6" s="533" t="s">
        <v>236</v>
      </c>
      <c r="J6" s="535" t="s">
        <v>238</v>
      </c>
      <c r="K6" s="533" t="s">
        <v>239</v>
      </c>
      <c r="L6" s="535" t="s">
        <v>240</v>
      </c>
      <c r="M6" s="533" t="s">
        <v>241</v>
      </c>
      <c r="N6" s="533" t="s">
        <v>242</v>
      </c>
      <c r="O6" s="536" t="s">
        <v>29</v>
      </c>
    </row>
    <row r="7" spans="1:15" x14ac:dyDescent="0.2">
      <c r="A7" s="537" t="s">
        <v>359</v>
      </c>
      <c r="B7" s="575">
        <v>3.6499999999999998E-2</v>
      </c>
      <c r="C7" s="576">
        <v>154257.12253206508</v>
      </c>
      <c r="D7" s="577">
        <v>120162.95703191035</v>
      </c>
      <c r="E7" s="576">
        <v>120162.95703191035</v>
      </c>
      <c r="F7" s="577">
        <v>181543.94365766429</v>
      </c>
      <c r="G7" s="576">
        <v>120162.95703191035</v>
      </c>
      <c r="H7" s="576">
        <v>120162.95703191035</v>
      </c>
      <c r="I7" s="578">
        <v>152643.60360410286</v>
      </c>
      <c r="J7" s="577">
        <v>120162.95703191037</v>
      </c>
      <c r="K7" s="576">
        <v>120162.95703191037</v>
      </c>
      <c r="L7" s="577">
        <v>159154.33645088488</v>
      </c>
      <c r="M7" s="576">
        <v>120162.9570319104</v>
      </c>
      <c r="N7" s="576">
        <v>120162.9570319104</v>
      </c>
      <c r="O7" s="579">
        <f t="shared" ref="O7:O26" si="0">SUM(C7:N7)</f>
        <v>1608902.6624999996</v>
      </c>
    </row>
    <row r="8" spans="1:15" x14ac:dyDescent="0.2">
      <c r="A8" s="537" t="s">
        <v>33</v>
      </c>
      <c r="B8" s="580">
        <v>1.49E-2</v>
      </c>
      <c r="C8" s="576">
        <v>62970.715773363561</v>
      </c>
      <c r="D8" s="577">
        <v>49052.82355549217</v>
      </c>
      <c r="E8" s="576">
        <v>49052.82355549217</v>
      </c>
      <c r="F8" s="577">
        <v>74109.719465731454</v>
      </c>
      <c r="G8" s="576">
        <v>49052.82355549217</v>
      </c>
      <c r="H8" s="576">
        <v>49052.82355549217</v>
      </c>
      <c r="I8" s="576">
        <v>62312.046402770757</v>
      </c>
      <c r="J8" s="577">
        <v>49052.823555492178</v>
      </c>
      <c r="K8" s="576">
        <v>49052.823555492178</v>
      </c>
      <c r="L8" s="577">
        <v>64969.852414196837</v>
      </c>
      <c r="M8" s="576">
        <v>49052.823555492192</v>
      </c>
      <c r="N8" s="576">
        <v>49052.823555492192</v>
      </c>
      <c r="O8" s="579">
        <f t="shared" si="0"/>
        <v>656784.92249999999</v>
      </c>
    </row>
    <row r="9" spans="1:15" x14ac:dyDescent="0.2">
      <c r="A9" s="537" t="s">
        <v>32</v>
      </c>
      <c r="B9" s="580">
        <v>1.09E-2</v>
      </c>
      <c r="C9" s="576">
        <v>46065.825632863278</v>
      </c>
      <c r="D9" s="577">
        <v>35884.280319118436</v>
      </c>
      <c r="E9" s="576">
        <v>35884.280319118436</v>
      </c>
      <c r="F9" s="577">
        <v>54214.492763521666</v>
      </c>
      <c r="G9" s="576">
        <v>35884.280319118436</v>
      </c>
      <c r="H9" s="576">
        <v>35884.280319118436</v>
      </c>
      <c r="I9" s="576">
        <v>45583.980254375922</v>
      </c>
      <c r="J9" s="577">
        <v>35884.280319118443</v>
      </c>
      <c r="K9" s="576">
        <v>35884.280319118443</v>
      </c>
      <c r="L9" s="577">
        <v>47528.281296291651</v>
      </c>
      <c r="M9" s="576">
        <v>35884.28031911845</v>
      </c>
      <c r="N9" s="576">
        <v>35884.28031911845</v>
      </c>
      <c r="O9" s="579">
        <f t="shared" si="0"/>
        <v>480466.82250000013</v>
      </c>
    </row>
    <row r="10" spans="1:15" x14ac:dyDescent="0.2">
      <c r="A10" s="537" t="s">
        <v>360</v>
      </c>
      <c r="B10" s="580">
        <v>8.8200000000000001E-2</v>
      </c>
      <c r="C10" s="576">
        <v>372752.82759803126</v>
      </c>
      <c r="D10" s="577">
        <v>290366.37836204091</v>
      </c>
      <c r="E10" s="576">
        <v>290366.37836204091</v>
      </c>
      <c r="F10" s="577">
        <v>438689.74878372578</v>
      </c>
      <c r="G10" s="576">
        <v>290366.37836204091</v>
      </c>
      <c r="H10" s="576">
        <v>290366.37836204091</v>
      </c>
      <c r="I10" s="576">
        <v>368853.85857210611</v>
      </c>
      <c r="J10" s="577">
        <v>290366.37836204097</v>
      </c>
      <c r="K10" s="576">
        <v>290366.37836204097</v>
      </c>
      <c r="L10" s="577">
        <v>384586.6431498095</v>
      </c>
      <c r="M10" s="576">
        <v>290366.37836204102</v>
      </c>
      <c r="N10" s="576">
        <v>290366.37836204102</v>
      </c>
      <c r="O10" s="579">
        <f t="shared" si="0"/>
        <v>3887814.105</v>
      </c>
    </row>
    <row r="11" spans="1:15" x14ac:dyDescent="0.2">
      <c r="A11" s="537" t="s">
        <v>34</v>
      </c>
      <c r="B11" s="580">
        <v>6.6299999999999998E-2</v>
      </c>
      <c r="C11" s="576">
        <v>280198.55407879222</v>
      </c>
      <c r="D11" s="577">
        <v>218268.60414289468</v>
      </c>
      <c r="E11" s="576">
        <v>218268.60414289468</v>
      </c>
      <c r="F11" s="577">
        <v>329763.38258912717</v>
      </c>
      <c r="G11" s="576">
        <v>218268.60414289468</v>
      </c>
      <c r="H11" s="576">
        <v>218268.60414289468</v>
      </c>
      <c r="I11" s="576">
        <v>277267.69640964438</v>
      </c>
      <c r="J11" s="577">
        <v>218268.60414289474</v>
      </c>
      <c r="K11" s="576">
        <v>218268.60414289474</v>
      </c>
      <c r="L11" s="577">
        <v>289094.04127927852</v>
      </c>
      <c r="M11" s="576">
        <v>218268.60414289479</v>
      </c>
      <c r="N11" s="576">
        <v>218268.60414289479</v>
      </c>
      <c r="O11" s="579">
        <f t="shared" si="0"/>
        <v>2922472.5075000003</v>
      </c>
    </row>
    <row r="12" spans="1:15" x14ac:dyDescent="0.2">
      <c r="A12" s="537" t="s">
        <v>361</v>
      </c>
      <c r="B12" s="580">
        <v>3.2199999999999999E-2</v>
      </c>
      <c r="C12" s="576">
        <v>136084.36563102729</v>
      </c>
      <c r="D12" s="577">
        <v>106006.77305280858</v>
      </c>
      <c r="E12" s="576">
        <v>106006.77305280858</v>
      </c>
      <c r="F12" s="577">
        <v>160156.57495278877</v>
      </c>
      <c r="G12" s="576">
        <v>106006.77305280858</v>
      </c>
      <c r="H12" s="576">
        <v>106006.77305280858</v>
      </c>
      <c r="I12" s="576">
        <v>134660.93249457842</v>
      </c>
      <c r="J12" s="577">
        <v>106006.7730528086</v>
      </c>
      <c r="K12" s="576">
        <v>106006.7730528086</v>
      </c>
      <c r="L12" s="577">
        <v>140404.6474991368</v>
      </c>
      <c r="M12" s="576">
        <v>106006.77305280862</v>
      </c>
      <c r="N12" s="576">
        <v>106006.77305280862</v>
      </c>
      <c r="O12" s="579">
        <f t="shared" si="0"/>
        <v>1419360.7050000001</v>
      </c>
    </row>
    <row r="13" spans="1:15" x14ac:dyDescent="0.2">
      <c r="A13" s="537" t="s">
        <v>47</v>
      </c>
      <c r="B13" s="580">
        <v>1.11E-2</v>
      </c>
      <c r="C13" s="576">
        <v>46911.070139888296</v>
      </c>
      <c r="D13" s="577">
        <v>36542.707480937126</v>
      </c>
      <c r="E13" s="576">
        <v>36542.707480937126</v>
      </c>
      <c r="F13" s="577">
        <v>55209.254098632155</v>
      </c>
      <c r="G13" s="576">
        <v>36542.707480937126</v>
      </c>
      <c r="H13" s="576">
        <v>36542.707480937126</v>
      </c>
      <c r="I13" s="576">
        <v>46420.383561795665</v>
      </c>
      <c r="J13" s="577">
        <v>36542.707480937126</v>
      </c>
      <c r="K13" s="576">
        <v>36542.707480937126</v>
      </c>
      <c r="L13" s="577">
        <v>48400.359852186913</v>
      </c>
      <c r="M13" s="576">
        <v>36542.707480937141</v>
      </c>
      <c r="N13" s="576">
        <v>36542.707480937141</v>
      </c>
      <c r="O13" s="579">
        <f t="shared" si="0"/>
        <v>489282.7275000001</v>
      </c>
    </row>
    <row r="14" spans="1:15" x14ac:dyDescent="0.2">
      <c r="A14" s="537" t="s">
        <v>35</v>
      </c>
      <c r="B14" s="580">
        <v>2.7099999999999999E-2</v>
      </c>
      <c r="C14" s="576">
        <v>114530.63070188943</v>
      </c>
      <c r="D14" s="577">
        <v>89216.880426432064</v>
      </c>
      <c r="E14" s="576">
        <v>89216.880426432064</v>
      </c>
      <c r="F14" s="577">
        <v>134790.16090747129</v>
      </c>
      <c r="G14" s="576">
        <v>89216.880426432064</v>
      </c>
      <c r="H14" s="576">
        <v>89216.880426432064</v>
      </c>
      <c r="I14" s="576">
        <v>113332.64815537501</v>
      </c>
      <c r="J14" s="577">
        <v>89216.880426432079</v>
      </c>
      <c r="K14" s="576">
        <v>89216.880426432079</v>
      </c>
      <c r="L14" s="577">
        <v>118166.64432380768</v>
      </c>
      <c r="M14" s="576">
        <v>89216.880426432108</v>
      </c>
      <c r="N14" s="576">
        <v>89216.880426432108</v>
      </c>
      <c r="O14" s="579">
        <f t="shared" si="0"/>
        <v>1194555.1274999999</v>
      </c>
    </row>
    <row r="15" spans="1:15" x14ac:dyDescent="0.2">
      <c r="A15" s="537" t="s">
        <v>36</v>
      </c>
      <c r="B15" s="580">
        <v>1.6899999999999998E-2</v>
      </c>
      <c r="C15" s="576">
        <v>71423.160843613703</v>
      </c>
      <c r="D15" s="577">
        <v>55637.095173679038</v>
      </c>
      <c r="E15" s="576">
        <v>55637.095173679038</v>
      </c>
      <c r="F15" s="577">
        <v>84057.332816836337</v>
      </c>
      <c r="G15" s="576">
        <v>55637.095173679038</v>
      </c>
      <c r="H15" s="576">
        <v>55637.095173679038</v>
      </c>
      <c r="I15" s="576">
        <v>70676.079476968167</v>
      </c>
      <c r="J15" s="577">
        <v>55637.095173679045</v>
      </c>
      <c r="K15" s="576">
        <v>55637.095173679045</v>
      </c>
      <c r="L15" s="577">
        <v>73690.637973149423</v>
      </c>
      <c r="M15" s="576">
        <v>55637.095173679059</v>
      </c>
      <c r="N15" s="576">
        <v>55637.095173679059</v>
      </c>
      <c r="O15" s="579">
        <f t="shared" si="0"/>
        <v>744943.97250000003</v>
      </c>
    </row>
    <row r="16" spans="1:15" x14ac:dyDescent="0.2">
      <c r="A16" s="537" t="s">
        <v>46</v>
      </c>
      <c r="B16" s="580">
        <v>1.2699999999999999E-2</v>
      </c>
      <c r="C16" s="576">
        <v>53673.026196088402</v>
      </c>
      <c r="D16" s="577">
        <v>41810.124775486613</v>
      </c>
      <c r="E16" s="576">
        <v>41810.124775486613</v>
      </c>
      <c r="F16" s="577">
        <v>63167.344779516068</v>
      </c>
      <c r="G16" s="576">
        <v>41810.124775486613</v>
      </c>
      <c r="H16" s="576">
        <v>41810.124775486613</v>
      </c>
      <c r="I16" s="576">
        <v>53111.610021153596</v>
      </c>
      <c r="J16" s="577">
        <v>41810.12477548662</v>
      </c>
      <c r="K16" s="576">
        <v>41810.12477548662</v>
      </c>
      <c r="L16" s="577">
        <v>55376.988299348981</v>
      </c>
      <c r="M16" s="576">
        <v>41810.124775486634</v>
      </c>
      <c r="N16" s="576">
        <v>41810.124775486634</v>
      </c>
      <c r="O16" s="579">
        <f t="shared" si="0"/>
        <v>559809.96750000003</v>
      </c>
    </row>
    <row r="17" spans="1:15" x14ac:dyDescent="0.2">
      <c r="A17" s="537" t="s">
        <v>37</v>
      </c>
      <c r="B17" s="580">
        <v>3.39E-2</v>
      </c>
      <c r="C17" s="576">
        <v>143268.9439407399</v>
      </c>
      <c r="D17" s="577">
        <v>111603.40392826742</v>
      </c>
      <c r="E17" s="576">
        <v>111603.40392826742</v>
      </c>
      <c r="F17" s="577">
        <v>168612.04630122794</v>
      </c>
      <c r="G17" s="576">
        <v>111603.40392826742</v>
      </c>
      <c r="H17" s="576">
        <v>111603.40392826742</v>
      </c>
      <c r="I17" s="576">
        <v>141770.36060764623</v>
      </c>
      <c r="J17" s="577">
        <v>111603.40392826743</v>
      </c>
      <c r="K17" s="576">
        <v>111603.40392826743</v>
      </c>
      <c r="L17" s="577">
        <v>147817.3152242465</v>
      </c>
      <c r="M17" s="576">
        <v>111603.40392826746</v>
      </c>
      <c r="N17" s="576">
        <v>111603.40392826746</v>
      </c>
      <c r="O17" s="579">
        <f t="shared" si="0"/>
        <v>1494295.8975000002</v>
      </c>
    </row>
    <row r="18" spans="1:15" x14ac:dyDescent="0.2">
      <c r="A18" s="537" t="s">
        <v>38</v>
      </c>
      <c r="B18" s="580">
        <v>2.2100000000000002E-2</v>
      </c>
      <c r="C18" s="576">
        <v>93399.518026264079</v>
      </c>
      <c r="D18" s="577">
        <v>72756.201380964907</v>
      </c>
      <c r="E18" s="576">
        <v>72756.201380964907</v>
      </c>
      <c r="F18" s="577">
        <v>109921.12752970908</v>
      </c>
      <c r="G18" s="576">
        <v>72756.201380964907</v>
      </c>
      <c r="H18" s="576">
        <v>72756.201380964907</v>
      </c>
      <c r="I18" s="576">
        <v>92422.565469881461</v>
      </c>
      <c r="J18" s="577">
        <v>72756.201380964922</v>
      </c>
      <c r="K18" s="576">
        <v>72756.201380964922</v>
      </c>
      <c r="L18" s="577">
        <v>96364.680426426188</v>
      </c>
      <c r="M18" s="576">
        <v>72756.201380964936</v>
      </c>
      <c r="N18" s="576">
        <v>72756.201380964936</v>
      </c>
      <c r="O18" s="579">
        <f t="shared" si="0"/>
        <v>974157.50250000018</v>
      </c>
    </row>
    <row r="19" spans="1:15" x14ac:dyDescent="0.2">
      <c r="A19" s="537" t="s">
        <v>39</v>
      </c>
      <c r="B19" s="580">
        <v>3.95E-2</v>
      </c>
      <c r="C19" s="576">
        <v>166935.79013744032</v>
      </c>
      <c r="D19" s="577">
        <v>130039.36445919066</v>
      </c>
      <c r="E19" s="576">
        <v>130039.36445919066</v>
      </c>
      <c r="F19" s="577">
        <v>196465.36368432164</v>
      </c>
      <c r="G19" s="576">
        <v>130039.36445919066</v>
      </c>
      <c r="H19" s="576">
        <v>130039.36445919066</v>
      </c>
      <c r="I19" s="576">
        <v>165189.65321539898</v>
      </c>
      <c r="J19" s="577">
        <v>130039.36445919068</v>
      </c>
      <c r="K19" s="576">
        <v>130039.36445919068</v>
      </c>
      <c r="L19" s="577">
        <v>172235.51478931378</v>
      </c>
      <c r="M19" s="576">
        <v>130039.36445919071</v>
      </c>
      <c r="N19" s="576">
        <v>130039.36445919071</v>
      </c>
      <c r="O19" s="579">
        <f t="shared" si="0"/>
        <v>1741141.2375000003</v>
      </c>
    </row>
    <row r="20" spans="1:15" x14ac:dyDescent="0.2">
      <c r="A20" s="537" t="s">
        <v>362</v>
      </c>
      <c r="B20" s="580">
        <v>7.4999999999999997E-3</v>
      </c>
      <c r="C20" s="576">
        <v>31696.669013438033</v>
      </c>
      <c r="D20" s="577">
        <v>24691.018568200758</v>
      </c>
      <c r="E20" s="576">
        <v>24691.018568200758</v>
      </c>
      <c r="F20" s="577">
        <v>37303.550066643344</v>
      </c>
      <c r="G20" s="576">
        <v>24691.018568200758</v>
      </c>
      <c r="H20" s="576">
        <v>24691.018568200758</v>
      </c>
      <c r="I20" s="576">
        <v>31365.124028240312</v>
      </c>
      <c r="J20" s="577">
        <v>24691.018568200761</v>
      </c>
      <c r="K20" s="576">
        <v>24691.018568200761</v>
      </c>
      <c r="L20" s="577">
        <v>32702.945846072234</v>
      </c>
      <c r="M20" s="576">
        <v>24691.018568200769</v>
      </c>
      <c r="N20" s="576">
        <v>24691.018568200769</v>
      </c>
      <c r="O20" s="579">
        <f t="shared" si="0"/>
        <v>330596.4375</v>
      </c>
    </row>
    <row r="21" spans="1:15" x14ac:dyDescent="0.2">
      <c r="A21" s="537" t="s">
        <v>363</v>
      </c>
      <c r="B21" s="580">
        <v>2.2800000000000001E-2</v>
      </c>
      <c r="C21" s="576">
        <v>96357.873800851623</v>
      </c>
      <c r="D21" s="577">
        <v>75060.696447330309</v>
      </c>
      <c r="E21" s="576">
        <v>75060.696447330309</v>
      </c>
      <c r="F21" s="577">
        <v>113402.79220259578</v>
      </c>
      <c r="G21" s="576">
        <v>75060.696447330309</v>
      </c>
      <c r="H21" s="576">
        <v>75060.696447330309</v>
      </c>
      <c r="I21" s="576">
        <v>95349.977045850552</v>
      </c>
      <c r="J21" s="577">
        <v>75060.696447330323</v>
      </c>
      <c r="K21" s="576">
        <v>75060.696447330323</v>
      </c>
      <c r="L21" s="577">
        <v>99416.955372059601</v>
      </c>
      <c r="M21" s="576">
        <v>75060.696447330338</v>
      </c>
      <c r="N21" s="576">
        <v>75060.696447330338</v>
      </c>
      <c r="O21" s="579">
        <f t="shared" si="0"/>
        <v>1005013.1699999999</v>
      </c>
    </row>
    <row r="22" spans="1:15" x14ac:dyDescent="0.2">
      <c r="A22" s="537" t="s">
        <v>364</v>
      </c>
      <c r="B22" s="580">
        <v>8.8800000000000004E-2</v>
      </c>
      <c r="C22" s="576">
        <v>375288.56111910637</v>
      </c>
      <c r="D22" s="577">
        <v>292341.65984749701</v>
      </c>
      <c r="E22" s="576">
        <v>292341.65984749701</v>
      </c>
      <c r="F22" s="577">
        <v>441674.03278905724</v>
      </c>
      <c r="G22" s="576">
        <v>292341.65984749701</v>
      </c>
      <c r="H22" s="576">
        <v>292341.65984749701</v>
      </c>
      <c r="I22" s="576">
        <v>371363.06849436532</v>
      </c>
      <c r="J22" s="577">
        <v>292341.65984749701</v>
      </c>
      <c r="K22" s="576">
        <v>292341.65984749701</v>
      </c>
      <c r="L22" s="577">
        <v>387202.87881749531</v>
      </c>
      <c r="M22" s="576">
        <v>292341.65984749713</v>
      </c>
      <c r="N22" s="576">
        <v>292341.65984749713</v>
      </c>
      <c r="O22" s="579">
        <f t="shared" si="0"/>
        <v>3914261.8200000008</v>
      </c>
    </row>
    <row r="23" spans="1:15" x14ac:dyDescent="0.2">
      <c r="A23" s="537" t="s">
        <v>42</v>
      </c>
      <c r="B23" s="580">
        <v>3.9199999999999999E-2</v>
      </c>
      <c r="C23" s="576">
        <v>165667.92337690279</v>
      </c>
      <c r="D23" s="577">
        <v>129051.72371646263</v>
      </c>
      <c r="E23" s="576">
        <v>129051.72371646263</v>
      </c>
      <c r="F23" s="577">
        <v>194973.22168165588</v>
      </c>
      <c r="G23" s="576">
        <v>129051.72371646263</v>
      </c>
      <c r="H23" s="576">
        <v>129051.72371646263</v>
      </c>
      <c r="I23" s="576">
        <v>163935.04825426938</v>
      </c>
      <c r="J23" s="577">
        <v>129051.72371646264</v>
      </c>
      <c r="K23" s="576">
        <v>129051.72371646264</v>
      </c>
      <c r="L23" s="577">
        <v>170927.39695547087</v>
      </c>
      <c r="M23" s="576">
        <v>129051.72371646267</v>
      </c>
      <c r="N23" s="576">
        <v>129051.72371646267</v>
      </c>
      <c r="O23" s="579">
        <f t="shared" si="0"/>
        <v>1727917.3800000001</v>
      </c>
    </row>
    <row r="24" spans="1:15" x14ac:dyDescent="0.2">
      <c r="A24" s="537" t="s">
        <v>30</v>
      </c>
      <c r="B24" s="580">
        <v>0.35420000000000001</v>
      </c>
      <c r="C24" s="576">
        <v>1496928.0219413002</v>
      </c>
      <c r="D24" s="577">
        <v>1166074.5035808946</v>
      </c>
      <c r="E24" s="576">
        <v>1166074.5035808946</v>
      </c>
      <c r="F24" s="577">
        <v>1761722.3244806766</v>
      </c>
      <c r="G24" s="576">
        <v>1166074.5035808946</v>
      </c>
      <c r="H24" s="576">
        <v>1166074.5035808946</v>
      </c>
      <c r="I24" s="576">
        <v>1481270.2574403626</v>
      </c>
      <c r="J24" s="577">
        <v>1166074.5035808946</v>
      </c>
      <c r="K24" s="576">
        <v>1166074.5035808946</v>
      </c>
      <c r="L24" s="577">
        <v>1544451.1224905048</v>
      </c>
      <c r="M24" s="576">
        <v>1166074.503580895</v>
      </c>
      <c r="N24" s="576">
        <v>1166074.503580895</v>
      </c>
      <c r="O24" s="579">
        <f t="shared" si="0"/>
        <v>15612967.754999999</v>
      </c>
    </row>
    <row r="25" spans="1:15" x14ac:dyDescent="0.2">
      <c r="A25" s="537" t="s">
        <v>43</v>
      </c>
      <c r="B25" s="580">
        <v>0.03</v>
      </c>
      <c r="C25" s="576">
        <v>126786.67605375213</v>
      </c>
      <c r="D25" s="577">
        <v>98764.074272803031</v>
      </c>
      <c r="E25" s="576">
        <v>98764.074272803031</v>
      </c>
      <c r="F25" s="577">
        <v>149214.20026657337</v>
      </c>
      <c r="G25" s="576">
        <v>98764.074272803031</v>
      </c>
      <c r="H25" s="576">
        <v>98764.074272803031</v>
      </c>
      <c r="I25" s="576">
        <v>125460.49611296125</v>
      </c>
      <c r="J25" s="577">
        <v>98764.074272803045</v>
      </c>
      <c r="K25" s="576">
        <v>98764.074272803045</v>
      </c>
      <c r="L25" s="577">
        <v>130811.78338428894</v>
      </c>
      <c r="M25" s="576">
        <v>98764.074272803075</v>
      </c>
      <c r="N25" s="576">
        <v>98764.074272803075</v>
      </c>
      <c r="O25" s="579">
        <f t="shared" si="0"/>
        <v>1322385.75</v>
      </c>
    </row>
    <row r="26" spans="1:15" ht="13.5" thickBot="1" x14ac:dyDescent="0.25">
      <c r="A26" s="537" t="s">
        <v>44</v>
      </c>
      <c r="B26" s="580">
        <v>4.5199999999999997E-2</v>
      </c>
      <c r="C26" s="576">
        <v>191025.2585876532</v>
      </c>
      <c r="D26" s="577">
        <v>148804.53857102324</v>
      </c>
      <c r="E26" s="576">
        <v>148804.53857102324</v>
      </c>
      <c r="F26" s="577">
        <v>224816.06173497057</v>
      </c>
      <c r="G26" s="576">
        <v>148804.53857102324</v>
      </c>
      <c r="H26" s="576">
        <v>148804.53857102324</v>
      </c>
      <c r="I26" s="576">
        <v>189027.1474768616</v>
      </c>
      <c r="J26" s="577">
        <v>148804.53857102324</v>
      </c>
      <c r="K26" s="576">
        <v>148804.53857102324</v>
      </c>
      <c r="L26" s="577">
        <v>197089.75363232865</v>
      </c>
      <c r="M26" s="576">
        <v>148804.53857102329</v>
      </c>
      <c r="N26" s="576">
        <v>148804.53857102329</v>
      </c>
      <c r="O26" s="579">
        <f t="shared" si="0"/>
        <v>1992394.53</v>
      </c>
    </row>
    <row r="27" spans="1:15" ht="13.5" thickBot="1" x14ac:dyDescent="0.25">
      <c r="A27" s="544" t="s">
        <v>365</v>
      </c>
      <c r="B27" s="581">
        <f>SUM(B7:B26)</f>
        <v>1</v>
      </c>
      <c r="C27" s="582">
        <f>SUM(C7:C26)</f>
        <v>4226222.5351250712</v>
      </c>
      <c r="D27" s="582">
        <f t="shared" ref="D27:O27" si="1">SUM(D7:D26)</f>
        <v>3292135.8090934348</v>
      </c>
      <c r="E27" s="582">
        <f t="shared" si="1"/>
        <v>3292135.8090934348</v>
      </c>
      <c r="F27" s="582">
        <f t="shared" si="1"/>
        <v>4973806.6755524464</v>
      </c>
      <c r="G27" s="582">
        <f t="shared" si="1"/>
        <v>3292135.8090934348</v>
      </c>
      <c r="H27" s="582">
        <f t="shared" si="1"/>
        <v>3292135.8090934348</v>
      </c>
      <c r="I27" s="582">
        <f t="shared" si="1"/>
        <v>4182016.5370987086</v>
      </c>
      <c r="J27" s="582">
        <f t="shared" si="1"/>
        <v>3292135.8090934353</v>
      </c>
      <c r="K27" s="582">
        <f t="shared" si="1"/>
        <v>3292135.8090934353</v>
      </c>
      <c r="L27" s="582">
        <f t="shared" si="1"/>
        <v>4360392.779476299</v>
      </c>
      <c r="M27" s="582">
        <f t="shared" si="1"/>
        <v>3292135.8090934358</v>
      </c>
      <c r="N27" s="582">
        <f t="shared" si="1"/>
        <v>3292135.8090934358</v>
      </c>
      <c r="O27" s="582">
        <f t="shared" si="1"/>
        <v>44079525</v>
      </c>
    </row>
    <row r="28" spans="1:15" x14ac:dyDescent="0.2">
      <c r="A28" s="547" t="s">
        <v>366</v>
      </c>
      <c r="B28" s="548"/>
      <c r="C28" s="548"/>
      <c r="D28" s="548"/>
      <c r="E28" s="548"/>
      <c r="F28" s="548"/>
      <c r="G28" s="548"/>
      <c r="H28" s="548"/>
      <c r="I28" s="548"/>
      <c r="J28" s="548"/>
      <c r="K28" s="548"/>
      <c r="L28" s="548"/>
      <c r="M28" s="548"/>
      <c r="N28" s="548"/>
      <c r="O28" s="548"/>
    </row>
    <row r="29" spans="1:15" x14ac:dyDescent="0.2">
      <c r="A29" s="547"/>
    </row>
    <row r="30" spans="1:15" x14ac:dyDescent="0.2">
      <c r="A30" s="548" t="s">
        <v>373</v>
      </c>
      <c r="B30" s="548"/>
      <c r="C30" s="548"/>
      <c r="D30" s="548"/>
      <c r="E30" s="548"/>
      <c r="F30" s="548"/>
      <c r="G30" s="548"/>
      <c r="H30" s="548"/>
      <c r="I30" s="548"/>
      <c r="J30" s="548"/>
      <c r="K30" s="548"/>
      <c r="L30" s="548"/>
      <c r="M30" s="548"/>
      <c r="N30" s="548"/>
      <c r="O30" s="548"/>
    </row>
    <row r="31" spans="1:15" ht="27.75" customHeight="1" x14ac:dyDescent="0.2">
      <c r="A31" s="755" t="s">
        <v>374</v>
      </c>
      <c r="B31" s="754"/>
      <c r="C31" s="754"/>
      <c r="D31" s="754"/>
      <c r="E31" s="754"/>
      <c r="F31" s="754"/>
      <c r="G31" s="754"/>
      <c r="H31" s="754"/>
      <c r="I31" s="754"/>
      <c r="J31" s="754"/>
      <c r="K31" s="754"/>
      <c r="L31" s="754"/>
      <c r="M31" s="754"/>
      <c r="N31" s="754"/>
      <c r="O31" s="754"/>
    </row>
  </sheetData>
  <mergeCells count="5">
    <mergeCell ref="A1:O1"/>
    <mergeCell ref="A2:O2"/>
    <mergeCell ref="A3:O3"/>
    <mergeCell ref="A4:O4"/>
    <mergeCell ref="A31:O31"/>
  </mergeCells>
  <printOptions horizontalCentered="1"/>
  <pageMargins left="0.41" right="0.78740157480314965" top="0.98425196850393704" bottom="0.98425196850393704" header="0" footer="0"/>
  <pageSetup paperSize="5" scale="9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P35"/>
  <sheetViews>
    <sheetView view="pageBreakPreview" zoomScaleNormal="100" zoomScaleSheetLayoutView="100" workbookViewId="0">
      <selection activeCell="F38" sqref="F38"/>
    </sheetView>
  </sheetViews>
  <sheetFormatPr baseColWidth="10" defaultColWidth="11.42578125" defaultRowHeight="12.75" x14ac:dyDescent="0.2"/>
  <cols>
    <col min="1" max="1" width="16.5703125" style="532" customWidth="1"/>
    <col min="2" max="2" width="9.28515625" style="532" bestFit="1" customWidth="1"/>
    <col min="3" max="14" width="11.7109375" style="532" bestFit="1" customWidth="1"/>
    <col min="15" max="15" width="13" style="532" bestFit="1" customWidth="1"/>
    <col min="16" max="16" width="12.7109375" style="532" bestFit="1" customWidth="1"/>
    <col min="17" max="16384" width="11.42578125" style="532"/>
  </cols>
  <sheetData>
    <row r="1" spans="1:15" ht="15.75" x14ac:dyDescent="0.25">
      <c r="A1" s="746" t="s">
        <v>354</v>
      </c>
      <c r="B1" s="746"/>
      <c r="C1" s="746"/>
      <c r="D1" s="746"/>
      <c r="E1" s="746"/>
      <c r="F1" s="746"/>
      <c r="G1" s="746"/>
      <c r="H1" s="746"/>
      <c r="I1" s="746"/>
      <c r="J1" s="746"/>
      <c r="K1" s="746"/>
      <c r="L1" s="746"/>
      <c r="M1" s="746"/>
      <c r="N1" s="746"/>
      <c r="O1" s="746"/>
    </row>
    <row r="2" spans="1:15" x14ac:dyDescent="0.2">
      <c r="A2" s="747" t="s">
        <v>355</v>
      </c>
      <c r="B2" s="747"/>
      <c r="C2" s="747"/>
      <c r="D2" s="747"/>
      <c r="E2" s="747"/>
      <c r="F2" s="747"/>
      <c r="G2" s="747"/>
      <c r="H2" s="747"/>
      <c r="I2" s="747"/>
      <c r="J2" s="747"/>
      <c r="K2" s="747"/>
      <c r="L2" s="747"/>
      <c r="M2" s="747"/>
      <c r="N2" s="747"/>
      <c r="O2" s="747"/>
    </row>
    <row r="3" spans="1:15" x14ac:dyDescent="0.2">
      <c r="A3" s="747" t="s">
        <v>356</v>
      </c>
      <c r="B3" s="747"/>
      <c r="C3" s="747"/>
      <c r="D3" s="747"/>
      <c r="E3" s="747"/>
      <c r="F3" s="747"/>
      <c r="G3" s="747"/>
      <c r="H3" s="747"/>
      <c r="I3" s="747"/>
      <c r="J3" s="747"/>
      <c r="K3" s="747"/>
      <c r="L3" s="747"/>
      <c r="M3" s="747"/>
      <c r="N3" s="747"/>
      <c r="O3" s="747"/>
    </row>
    <row r="4" spans="1:15" x14ac:dyDescent="0.2">
      <c r="A4" s="748" t="s">
        <v>375</v>
      </c>
      <c r="B4" s="748"/>
      <c r="C4" s="748"/>
      <c r="D4" s="748"/>
      <c r="E4" s="748"/>
      <c r="F4" s="748"/>
      <c r="G4" s="748"/>
      <c r="H4" s="748"/>
      <c r="I4" s="748"/>
      <c r="J4" s="748"/>
      <c r="K4" s="748"/>
      <c r="L4" s="748"/>
      <c r="M4" s="748"/>
      <c r="N4" s="748"/>
      <c r="O4" s="748"/>
    </row>
    <row r="5" spans="1:15" ht="13.5" thickBot="1" x14ac:dyDescent="0.25"/>
    <row r="6" spans="1:15" ht="23.25" thickBot="1" x14ac:dyDescent="0.25">
      <c r="A6" s="533" t="s">
        <v>26</v>
      </c>
      <c r="B6" s="534" t="s">
        <v>358</v>
      </c>
      <c r="C6" s="533" t="s">
        <v>223</v>
      </c>
      <c r="D6" s="535" t="s">
        <v>224</v>
      </c>
      <c r="E6" s="533" t="s">
        <v>227</v>
      </c>
      <c r="F6" s="535" t="s">
        <v>230</v>
      </c>
      <c r="G6" s="533" t="s">
        <v>233</v>
      </c>
      <c r="H6" s="533" t="s">
        <v>235</v>
      </c>
      <c r="I6" s="533" t="s">
        <v>236</v>
      </c>
      <c r="J6" s="535" t="s">
        <v>238</v>
      </c>
      <c r="K6" s="533" t="s">
        <v>239</v>
      </c>
      <c r="L6" s="535" t="s">
        <v>240</v>
      </c>
      <c r="M6" s="533" t="s">
        <v>241</v>
      </c>
      <c r="N6" s="533" t="s">
        <v>242</v>
      </c>
      <c r="O6" s="536" t="s">
        <v>29</v>
      </c>
    </row>
    <row r="7" spans="1:15" x14ac:dyDescent="0.2">
      <c r="A7" s="537" t="s">
        <v>359</v>
      </c>
      <c r="B7" s="575">
        <v>3.8100000000000002E-2</v>
      </c>
      <c r="C7" s="576">
        <v>221149.74295927721</v>
      </c>
      <c r="D7" s="577">
        <v>222516.2298324453</v>
      </c>
      <c r="E7" s="576">
        <v>252825.77036195033</v>
      </c>
      <c r="F7" s="577">
        <v>242573.30921120683</v>
      </c>
      <c r="G7" s="576">
        <v>258898.84233744943</v>
      </c>
      <c r="H7" s="576">
        <v>248735.24449241886</v>
      </c>
      <c r="I7" s="578">
        <v>257861.19628767337</v>
      </c>
      <c r="J7" s="577">
        <v>255959.02638851784</v>
      </c>
      <c r="K7" s="576">
        <v>244192.50881827332</v>
      </c>
      <c r="L7" s="577">
        <v>257063.79269192531</v>
      </c>
      <c r="M7" s="576">
        <v>247583.00890387889</v>
      </c>
      <c r="N7" s="576">
        <v>182239.87521498336</v>
      </c>
      <c r="O7" s="579">
        <f>SUM(C7:N7)</f>
        <v>2891598.5474999999</v>
      </c>
    </row>
    <row r="8" spans="1:15" x14ac:dyDescent="0.2">
      <c r="A8" s="537" t="s">
        <v>33</v>
      </c>
      <c r="B8" s="580">
        <v>1.6299999999999999E-2</v>
      </c>
      <c r="C8" s="576">
        <v>94612.619691239321</v>
      </c>
      <c r="D8" s="577">
        <v>95197.232185534333</v>
      </c>
      <c r="E8" s="576">
        <v>108164.30595537506</v>
      </c>
      <c r="F8" s="577">
        <v>103778.08241844281</v>
      </c>
      <c r="G8" s="576">
        <v>110762.49685302953</v>
      </c>
      <c r="H8" s="576">
        <v>106414.29095082486</v>
      </c>
      <c r="I8" s="576">
        <v>110318.56954039568</v>
      </c>
      <c r="J8" s="577">
        <v>109504.78031844726</v>
      </c>
      <c r="K8" s="576">
        <v>104470.81085926128</v>
      </c>
      <c r="L8" s="577">
        <v>109977.42312016751</v>
      </c>
      <c r="M8" s="576">
        <v>105921.33976727625</v>
      </c>
      <c r="N8" s="576">
        <v>77966.140840005988</v>
      </c>
      <c r="O8" s="579">
        <f t="shared" ref="O8:O26" si="0">SUM(C8:N8)</f>
        <v>1237088.0925</v>
      </c>
    </row>
    <row r="9" spans="1:15" x14ac:dyDescent="0.2">
      <c r="A9" s="537" t="s">
        <v>32</v>
      </c>
      <c r="B9" s="580">
        <v>1.32E-2</v>
      </c>
      <c r="C9" s="576">
        <v>76618.808584316517</v>
      </c>
      <c r="D9" s="577">
        <v>77092.237107303881</v>
      </c>
      <c r="E9" s="576">
        <v>87593.180282880421</v>
      </c>
      <c r="F9" s="577">
        <v>84041.146498370872</v>
      </c>
      <c r="G9" s="576">
        <v>89697.23671533681</v>
      </c>
      <c r="H9" s="576">
        <v>86175.990217845901</v>
      </c>
      <c r="I9" s="576">
        <v>89337.73729651676</v>
      </c>
      <c r="J9" s="577">
        <v>88678.717803895939</v>
      </c>
      <c r="K9" s="576">
        <v>84602.129039401771</v>
      </c>
      <c r="L9" s="577">
        <v>89061.47148381664</v>
      </c>
      <c r="M9" s="576">
        <v>85776.790486383237</v>
      </c>
      <c r="N9" s="576">
        <v>63138.224483931241</v>
      </c>
      <c r="O9" s="579">
        <f t="shared" si="0"/>
        <v>1001813.6699999999</v>
      </c>
    </row>
    <row r="10" spans="1:15" x14ac:dyDescent="0.2">
      <c r="A10" s="537" t="s">
        <v>360</v>
      </c>
      <c r="B10" s="580">
        <v>7.6399999999999996E-2</v>
      </c>
      <c r="C10" s="576">
        <v>443460.37695771072</v>
      </c>
      <c r="D10" s="577">
        <v>446200.52386348607</v>
      </c>
      <c r="E10" s="576">
        <v>506978.71012212604</v>
      </c>
      <c r="F10" s="577">
        <v>486419.96912693436</v>
      </c>
      <c r="G10" s="576">
        <v>519156.73371604027</v>
      </c>
      <c r="H10" s="576">
        <v>498776.18580632017</v>
      </c>
      <c r="I10" s="576">
        <v>517075.99465559697</v>
      </c>
      <c r="J10" s="577">
        <v>513261.66971345828</v>
      </c>
      <c r="K10" s="576">
        <v>489666.86807653756</v>
      </c>
      <c r="L10" s="577">
        <v>515477.00161845388</v>
      </c>
      <c r="M10" s="576">
        <v>496465.66614846047</v>
      </c>
      <c r="N10" s="576">
        <v>365436.39019487472</v>
      </c>
      <c r="O10" s="579">
        <f t="shared" si="0"/>
        <v>5798376.0899999999</v>
      </c>
    </row>
    <row r="11" spans="1:15" x14ac:dyDescent="0.2">
      <c r="A11" s="537" t="s">
        <v>34</v>
      </c>
      <c r="B11" s="580">
        <v>6.2E-2</v>
      </c>
      <c r="C11" s="576">
        <v>359876.22213845636</v>
      </c>
      <c r="D11" s="577">
        <v>362099.90156460914</v>
      </c>
      <c r="E11" s="576">
        <v>411422.51344989287</v>
      </c>
      <c r="F11" s="577">
        <v>394738.71840143891</v>
      </c>
      <c r="G11" s="576">
        <v>421305.20275385468</v>
      </c>
      <c r="H11" s="576">
        <v>404766.0146595792</v>
      </c>
      <c r="I11" s="576">
        <v>419616.64487757871</v>
      </c>
      <c r="J11" s="577">
        <v>416521.25029102637</v>
      </c>
      <c r="K11" s="576">
        <v>397373.63639719016</v>
      </c>
      <c r="L11" s="577">
        <v>418319.03272701753</v>
      </c>
      <c r="M11" s="576">
        <v>402890.98561786063</v>
      </c>
      <c r="N11" s="576">
        <v>296558.32712149521</v>
      </c>
      <c r="O11" s="579">
        <f t="shared" si="0"/>
        <v>4705488.4499999993</v>
      </c>
    </row>
    <row r="12" spans="1:15" x14ac:dyDescent="0.2">
      <c r="A12" s="537" t="s">
        <v>361</v>
      </c>
      <c r="B12" s="580">
        <v>7.2300000000000003E-2</v>
      </c>
      <c r="C12" s="576">
        <v>419662.11065500637</v>
      </c>
      <c r="D12" s="577">
        <v>422255.20779227809</v>
      </c>
      <c r="E12" s="576">
        <v>479771.73745850415</v>
      </c>
      <c r="F12" s="577">
        <v>460316.27968425862</v>
      </c>
      <c r="G12" s="576">
        <v>491296.22837264027</v>
      </c>
      <c r="H12" s="576">
        <v>472009.40096592868</v>
      </c>
      <c r="I12" s="576">
        <v>489327.15201046679</v>
      </c>
      <c r="J12" s="577">
        <v>485717.52251679369</v>
      </c>
      <c r="K12" s="576">
        <v>463388.93405672337</v>
      </c>
      <c r="L12" s="577">
        <v>487813.9688090866</v>
      </c>
      <c r="M12" s="576">
        <v>469822.87516405364</v>
      </c>
      <c r="N12" s="576">
        <v>345825.27501425974</v>
      </c>
      <c r="O12" s="579">
        <f t="shared" si="0"/>
        <v>5487206.6924999999</v>
      </c>
    </row>
    <row r="13" spans="1:15" x14ac:dyDescent="0.2">
      <c r="A13" s="537" t="s">
        <v>47</v>
      </c>
      <c r="B13" s="580">
        <v>0.02</v>
      </c>
      <c r="C13" s="576">
        <v>116089.10391563109</v>
      </c>
      <c r="D13" s="577">
        <v>116806.41985955134</v>
      </c>
      <c r="E13" s="576">
        <v>132716.93982254609</v>
      </c>
      <c r="F13" s="577">
        <v>127335.07045207708</v>
      </c>
      <c r="G13" s="576">
        <v>135904.90411414669</v>
      </c>
      <c r="H13" s="576">
        <v>130569.68214825136</v>
      </c>
      <c r="I13" s="576">
        <v>135360.20802502538</v>
      </c>
      <c r="J13" s="577">
        <v>134361.69364226659</v>
      </c>
      <c r="K13" s="576">
        <v>128185.0439990936</v>
      </c>
      <c r="L13" s="577">
        <v>134941.62346032824</v>
      </c>
      <c r="M13" s="576">
        <v>129964.83407027763</v>
      </c>
      <c r="N13" s="576">
        <v>95663.976490804911</v>
      </c>
      <c r="O13" s="579">
        <f t="shared" si="0"/>
        <v>1517899.5</v>
      </c>
    </row>
    <row r="14" spans="1:15" x14ac:dyDescent="0.2">
      <c r="A14" s="537" t="s">
        <v>35</v>
      </c>
      <c r="B14" s="580">
        <v>2.6700000000000002E-2</v>
      </c>
      <c r="C14" s="576">
        <v>154978.95372736751</v>
      </c>
      <c r="D14" s="577">
        <v>155936.57051250106</v>
      </c>
      <c r="E14" s="576">
        <v>177177.11466309906</v>
      </c>
      <c r="F14" s="577">
        <v>169992.31905352289</v>
      </c>
      <c r="G14" s="576">
        <v>181433.04699238582</v>
      </c>
      <c r="H14" s="576">
        <v>174310.52566791559</v>
      </c>
      <c r="I14" s="576">
        <v>180705.8777134089</v>
      </c>
      <c r="J14" s="577">
        <v>179372.86101242588</v>
      </c>
      <c r="K14" s="576">
        <v>171127.03373878996</v>
      </c>
      <c r="L14" s="577">
        <v>180147.06731953821</v>
      </c>
      <c r="M14" s="576">
        <v>173503.05348382064</v>
      </c>
      <c r="N14" s="576">
        <v>127711.40861522456</v>
      </c>
      <c r="O14" s="579">
        <f t="shared" si="0"/>
        <v>2026395.8325</v>
      </c>
    </row>
    <row r="15" spans="1:15" x14ac:dyDescent="0.2">
      <c r="A15" s="537" t="s">
        <v>36</v>
      </c>
      <c r="B15" s="580">
        <v>2.3E-2</v>
      </c>
      <c r="C15" s="576">
        <v>133502.46950297573</v>
      </c>
      <c r="D15" s="577">
        <v>134327.38283848405</v>
      </c>
      <c r="E15" s="576">
        <v>152624.48079592802</v>
      </c>
      <c r="F15" s="577">
        <v>146435.33101988863</v>
      </c>
      <c r="G15" s="576">
        <v>156290.63973126869</v>
      </c>
      <c r="H15" s="576">
        <v>150155.13447048908</v>
      </c>
      <c r="I15" s="576">
        <v>155664.23922877919</v>
      </c>
      <c r="J15" s="577">
        <v>154515.94768860657</v>
      </c>
      <c r="K15" s="576">
        <v>147412.80059895763</v>
      </c>
      <c r="L15" s="577">
        <v>155182.86697937749</v>
      </c>
      <c r="M15" s="576">
        <v>149459.55918081925</v>
      </c>
      <c r="N15" s="576">
        <v>110013.57296442564</v>
      </c>
      <c r="O15" s="579">
        <f t="shared" si="0"/>
        <v>1745584.425</v>
      </c>
    </row>
    <row r="16" spans="1:15" x14ac:dyDescent="0.2">
      <c r="A16" s="537" t="s">
        <v>46</v>
      </c>
      <c r="B16" s="580">
        <v>2.3099999999999999E-2</v>
      </c>
      <c r="C16" s="576">
        <v>134082.91502255391</v>
      </c>
      <c r="D16" s="577">
        <v>134911.41493778178</v>
      </c>
      <c r="E16" s="576">
        <v>153288.06549504073</v>
      </c>
      <c r="F16" s="577">
        <v>147072.00637214902</v>
      </c>
      <c r="G16" s="576">
        <v>156970.16425183942</v>
      </c>
      <c r="H16" s="576">
        <v>150807.98288123033</v>
      </c>
      <c r="I16" s="576">
        <v>156341.04026890433</v>
      </c>
      <c r="J16" s="577">
        <v>155187.75615681789</v>
      </c>
      <c r="K16" s="576">
        <v>148053.7258189531</v>
      </c>
      <c r="L16" s="577">
        <v>155857.57509667912</v>
      </c>
      <c r="M16" s="576">
        <v>150109.38335117066</v>
      </c>
      <c r="N16" s="576">
        <v>110491.89284687967</v>
      </c>
      <c r="O16" s="579">
        <f t="shared" si="0"/>
        <v>1753173.9224999999</v>
      </c>
    </row>
    <row r="17" spans="1:16" x14ac:dyDescent="0.2">
      <c r="A17" s="537" t="s">
        <v>37</v>
      </c>
      <c r="B17" s="580">
        <v>5.0500000000000003E-2</v>
      </c>
      <c r="C17" s="576">
        <v>293124.98738696851</v>
      </c>
      <c r="D17" s="577">
        <v>294936.21014536713</v>
      </c>
      <c r="E17" s="576">
        <v>335110.2730519289</v>
      </c>
      <c r="F17" s="577">
        <v>321521.05289149465</v>
      </c>
      <c r="G17" s="576">
        <v>343159.88288822037</v>
      </c>
      <c r="H17" s="576">
        <v>329688.44742433471</v>
      </c>
      <c r="I17" s="576">
        <v>341784.52526318911</v>
      </c>
      <c r="J17" s="577">
        <v>339263.27644672315</v>
      </c>
      <c r="K17" s="576">
        <v>323667.23609771137</v>
      </c>
      <c r="L17" s="577">
        <v>340727.59923732886</v>
      </c>
      <c r="M17" s="576">
        <v>328161.20602745103</v>
      </c>
      <c r="N17" s="576">
        <v>241551.54063928241</v>
      </c>
      <c r="O17" s="579">
        <f t="shared" si="0"/>
        <v>3832696.2374999993</v>
      </c>
    </row>
    <row r="18" spans="1:16" x14ac:dyDescent="0.2">
      <c r="A18" s="537" t="s">
        <v>38</v>
      </c>
      <c r="B18" s="580">
        <v>2.58E-2</v>
      </c>
      <c r="C18" s="576">
        <v>149754.94405116409</v>
      </c>
      <c r="D18" s="577">
        <v>150680.28161882123</v>
      </c>
      <c r="E18" s="576">
        <v>171204.85237108447</v>
      </c>
      <c r="F18" s="577">
        <v>164262.24088317942</v>
      </c>
      <c r="G18" s="576">
        <v>175317.32630724923</v>
      </c>
      <c r="H18" s="576">
        <v>168434.88997124427</v>
      </c>
      <c r="I18" s="576">
        <v>174614.66835228275</v>
      </c>
      <c r="J18" s="577">
        <v>173326.58479852389</v>
      </c>
      <c r="K18" s="576">
        <v>165358.70675883075</v>
      </c>
      <c r="L18" s="577">
        <v>174074.69426382345</v>
      </c>
      <c r="M18" s="576">
        <v>167654.63595065812</v>
      </c>
      <c r="N18" s="576">
        <v>123406.52967313833</v>
      </c>
      <c r="O18" s="579">
        <f t="shared" si="0"/>
        <v>1958090.3549999997</v>
      </c>
    </row>
    <row r="19" spans="1:16" x14ac:dyDescent="0.2">
      <c r="A19" s="537" t="s">
        <v>39</v>
      </c>
      <c r="B19" s="580">
        <v>3.39E-2</v>
      </c>
      <c r="C19" s="576">
        <v>196771.03113699469</v>
      </c>
      <c r="D19" s="577">
        <v>197986.88166193952</v>
      </c>
      <c r="E19" s="576">
        <v>224955.21299921564</v>
      </c>
      <c r="F19" s="577">
        <v>215832.94441627062</v>
      </c>
      <c r="G19" s="576">
        <v>230358.81247347861</v>
      </c>
      <c r="H19" s="576">
        <v>221315.61124128607</v>
      </c>
      <c r="I19" s="576">
        <v>229435.55260241803</v>
      </c>
      <c r="J19" s="577">
        <v>227743.07072364184</v>
      </c>
      <c r="K19" s="576">
        <v>217273.64957846366</v>
      </c>
      <c r="L19" s="577">
        <v>228726.05176525636</v>
      </c>
      <c r="M19" s="576">
        <v>220290.39374912056</v>
      </c>
      <c r="N19" s="576">
        <v>162150.44015191431</v>
      </c>
      <c r="O19" s="579">
        <f t="shared" si="0"/>
        <v>2572839.6525000003</v>
      </c>
    </row>
    <row r="20" spans="1:16" x14ac:dyDescent="0.2">
      <c r="A20" s="537" t="s">
        <v>362</v>
      </c>
      <c r="B20" s="580">
        <v>8.2000000000000007E-3</v>
      </c>
      <c r="C20" s="576">
        <v>47596.532605408749</v>
      </c>
      <c r="D20" s="577">
        <v>47890.632142416056</v>
      </c>
      <c r="E20" s="576">
        <v>54413.945327243906</v>
      </c>
      <c r="F20" s="577">
        <v>52207.378885351602</v>
      </c>
      <c r="G20" s="576">
        <v>55721.010686800146</v>
      </c>
      <c r="H20" s="576">
        <v>53533.569680783061</v>
      </c>
      <c r="I20" s="576">
        <v>55497.685290260415</v>
      </c>
      <c r="J20" s="577">
        <v>55088.294393329299</v>
      </c>
      <c r="K20" s="576">
        <v>52555.868039628382</v>
      </c>
      <c r="L20" s="577">
        <v>55326.065618734581</v>
      </c>
      <c r="M20" s="576">
        <v>53285.581968813829</v>
      </c>
      <c r="N20" s="576">
        <v>39222.230361230017</v>
      </c>
      <c r="O20" s="579">
        <f t="shared" si="0"/>
        <v>622338.79499999993</v>
      </c>
    </row>
    <row r="21" spans="1:16" x14ac:dyDescent="0.2">
      <c r="A21" s="537" t="s">
        <v>363</v>
      </c>
      <c r="B21" s="580">
        <v>2.2700000000000001E-2</v>
      </c>
      <c r="C21" s="576">
        <v>131761.13294424128</v>
      </c>
      <c r="D21" s="577">
        <v>132575.28654059078</v>
      </c>
      <c r="E21" s="576">
        <v>150633.72669858983</v>
      </c>
      <c r="F21" s="577">
        <v>144525.30496310748</v>
      </c>
      <c r="G21" s="576">
        <v>154252.06616955649</v>
      </c>
      <c r="H21" s="576">
        <v>148196.5892382653</v>
      </c>
      <c r="I21" s="576">
        <v>153633.83610840383</v>
      </c>
      <c r="J21" s="577">
        <v>152500.52228397259</v>
      </c>
      <c r="K21" s="576">
        <v>145490.02493897124</v>
      </c>
      <c r="L21" s="577">
        <v>153158.74262747256</v>
      </c>
      <c r="M21" s="576">
        <v>147510.08666976512</v>
      </c>
      <c r="N21" s="576">
        <v>108578.61331706357</v>
      </c>
      <c r="O21" s="579">
        <f t="shared" si="0"/>
        <v>1722815.9325000003</v>
      </c>
    </row>
    <row r="22" spans="1:16" x14ac:dyDescent="0.2">
      <c r="A22" s="537" t="s">
        <v>364</v>
      </c>
      <c r="B22" s="580">
        <v>8.5900000000000004E-2</v>
      </c>
      <c r="C22" s="576">
        <v>498602.70131763554</v>
      </c>
      <c r="D22" s="577">
        <v>501683.57329677301</v>
      </c>
      <c r="E22" s="576">
        <v>570019.25653783546</v>
      </c>
      <c r="F22" s="577">
        <v>546904.12759167107</v>
      </c>
      <c r="G22" s="576">
        <v>583711.56317026005</v>
      </c>
      <c r="H22" s="576">
        <v>560796.78482673969</v>
      </c>
      <c r="I22" s="576">
        <v>581372.09346748411</v>
      </c>
      <c r="J22" s="577">
        <v>577083.47419353493</v>
      </c>
      <c r="K22" s="576">
        <v>550554.763976107</v>
      </c>
      <c r="L22" s="577">
        <v>579574.27276210987</v>
      </c>
      <c r="M22" s="576">
        <v>558198.9623318424</v>
      </c>
      <c r="N22" s="576">
        <v>410876.77902800712</v>
      </c>
      <c r="O22" s="579">
        <f t="shared" si="0"/>
        <v>6519378.3525</v>
      </c>
    </row>
    <row r="23" spans="1:16" x14ac:dyDescent="0.2">
      <c r="A23" s="537" t="s">
        <v>42</v>
      </c>
      <c r="B23" s="580">
        <v>4.5499999999999999E-2</v>
      </c>
      <c r="C23" s="576">
        <v>264102.71140806068</v>
      </c>
      <c r="D23" s="577">
        <v>265734.6051804793</v>
      </c>
      <c r="E23" s="576">
        <v>301931.03809629235</v>
      </c>
      <c r="F23" s="577">
        <v>289687.28527847532</v>
      </c>
      <c r="G23" s="576">
        <v>309183.65685968369</v>
      </c>
      <c r="H23" s="576">
        <v>297046.02688727184</v>
      </c>
      <c r="I23" s="576">
        <v>307944.47325693275</v>
      </c>
      <c r="J23" s="577">
        <v>305672.85303615645</v>
      </c>
      <c r="K23" s="576">
        <v>291620.97509793792</v>
      </c>
      <c r="L23" s="577">
        <v>306992.19337224675</v>
      </c>
      <c r="M23" s="576">
        <v>295669.99750988156</v>
      </c>
      <c r="N23" s="576">
        <v>217635.54651658115</v>
      </c>
      <c r="O23" s="579">
        <f t="shared" si="0"/>
        <v>3453221.3624999993</v>
      </c>
    </row>
    <row r="24" spans="1:16" x14ac:dyDescent="0.2">
      <c r="A24" s="537" t="s">
        <v>30</v>
      </c>
      <c r="B24" s="580">
        <v>0.29020000000000001</v>
      </c>
      <c r="C24" s="576">
        <v>1684452.897815807</v>
      </c>
      <c r="D24" s="577">
        <v>1694861.1521620899</v>
      </c>
      <c r="E24" s="576">
        <v>1925722.796825144</v>
      </c>
      <c r="F24" s="577">
        <v>1847631.8722596385</v>
      </c>
      <c r="G24" s="576">
        <v>1971980.1586962685</v>
      </c>
      <c r="H24" s="576">
        <v>1894566.0879711274</v>
      </c>
      <c r="I24" s="576">
        <v>1964076.6184431184</v>
      </c>
      <c r="J24" s="577">
        <v>1949588.1747492882</v>
      </c>
      <c r="K24" s="576">
        <v>1859964.9884268483</v>
      </c>
      <c r="L24" s="577">
        <v>1958002.9564093628</v>
      </c>
      <c r="M24" s="576">
        <v>1885789.7423597283</v>
      </c>
      <c r="N24" s="576">
        <v>1388084.2988815792</v>
      </c>
      <c r="O24" s="579">
        <f t="shared" si="0"/>
        <v>22024721.744999997</v>
      </c>
    </row>
    <row r="25" spans="1:16" x14ac:dyDescent="0.2">
      <c r="A25" s="537" t="s">
        <v>43</v>
      </c>
      <c r="B25" s="580">
        <v>2.7300000000000001E-2</v>
      </c>
      <c r="C25" s="576">
        <v>158461.62684483643</v>
      </c>
      <c r="D25" s="577">
        <v>159440.76310828759</v>
      </c>
      <c r="E25" s="576">
        <v>181158.62285777542</v>
      </c>
      <c r="F25" s="577">
        <v>173812.37116708522</v>
      </c>
      <c r="G25" s="576">
        <v>185510.19411581021</v>
      </c>
      <c r="H25" s="576">
        <v>178227.61613236312</v>
      </c>
      <c r="I25" s="576">
        <v>184766.68395415967</v>
      </c>
      <c r="J25" s="577">
        <v>183403.7118216939</v>
      </c>
      <c r="K25" s="576">
        <v>174972.58505876278</v>
      </c>
      <c r="L25" s="577">
        <v>184195.31602334807</v>
      </c>
      <c r="M25" s="576">
        <v>177401.99850592896</v>
      </c>
      <c r="N25" s="576">
        <v>130581.3279099487</v>
      </c>
      <c r="O25" s="579">
        <f t="shared" si="0"/>
        <v>2071932.8175000001</v>
      </c>
    </row>
    <row r="26" spans="1:16" ht="13.5" thickBot="1" x14ac:dyDescent="0.25">
      <c r="A26" s="537" t="s">
        <v>44</v>
      </c>
      <c r="B26" s="583">
        <v>3.8899999999999997E-2</v>
      </c>
      <c r="C26" s="576">
        <v>225793.30711590243</v>
      </c>
      <c r="D26" s="577">
        <v>227188.48662682733</v>
      </c>
      <c r="E26" s="576">
        <v>258134.44795485213</v>
      </c>
      <c r="F26" s="577">
        <v>247666.71202928989</v>
      </c>
      <c r="G26" s="576">
        <v>264335.03850201529</v>
      </c>
      <c r="H26" s="576">
        <v>253958.0317783489</v>
      </c>
      <c r="I26" s="584">
        <v>263275.60460867436</v>
      </c>
      <c r="J26" s="577">
        <v>261333.49413420848</v>
      </c>
      <c r="K26" s="576">
        <v>249319.91057823703</v>
      </c>
      <c r="L26" s="577">
        <v>262461.45763033844</v>
      </c>
      <c r="M26" s="576">
        <v>252781.60226668997</v>
      </c>
      <c r="N26" s="576">
        <v>186066.43427461552</v>
      </c>
      <c r="O26" s="579">
        <f t="shared" si="0"/>
        <v>2952314.5274999999</v>
      </c>
    </row>
    <row r="27" spans="1:16" ht="13.5" thickBot="1" x14ac:dyDescent="0.25">
      <c r="A27" s="544" t="s">
        <v>365</v>
      </c>
      <c r="B27" s="581">
        <f>SUM(B7:B26)</f>
        <v>1</v>
      </c>
      <c r="C27" s="585">
        <v>5804455.1957815532</v>
      </c>
      <c r="D27" s="585">
        <v>5840320.992977567</v>
      </c>
      <c r="E27" s="585">
        <v>6635846.9911273047</v>
      </c>
      <c r="F27" s="585">
        <v>6366753.5226038536</v>
      </c>
      <c r="G27" s="585">
        <v>6795245.2057073349</v>
      </c>
      <c r="H27" s="585">
        <v>6528484.1074125664</v>
      </c>
      <c r="I27" s="585">
        <v>6768010.4012512695</v>
      </c>
      <c r="J27" s="585">
        <v>6718084.6821133289</v>
      </c>
      <c r="K27" s="585">
        <v>6409252.1999546802</v>
      </c>
      <c r="L27" s="585">
        <v>6747081.1730164122</v>
      </c>
      <c r="M27" s="585">
        <v>6498241.7035138793</v>
      </c>
      <c r="N27" s="585">
        <v>4783198.8245402453</v>
      </c>
      <c r="O27" s="585">
        <f>SUM(C27:N27)</f>
        <v>75894975</v>
      </c>
      <c r="P27" s="586"/>
    </row>
    <row r="28" spans="1:16" x14ac:dyDescent="0.2">
      <c r="A28" s="547" t="s">
        <v>366</v>
      </c>
      <c r="B28" s="587"/>
      <c r="C28" s="588"/>
      <c r="D28" s="588"/>
      <c r="E28" s="588"/>
      <c r="F28" s="588"/>
      <c r="G28" s="588"/>
      <c r="H28" s="588"/>
      <c r="I28" s="588"/>
      <c r="J28" s="588"/>
      <c r="K28" s="588"/>
      <c r="L28" s="588"/>
      <c r="M28" s="588"/>
      <c r="N28" s="588"/>
      <c r="O28" s="588"/>
      <c r="P28" s="586"/>
    </row>
    <row r="29" spans="1:16" x14ac:dyDescent="0.2">
      <c r="A29" s="589"/>
      <c r="B29" s="587"/>
      <c r="C29" s="588"/>
      <c r="D29" s="588"/>
      <c r="E29" s="588"/>
      <c r="F29" s="588"/>
      <c r="G29" s="588"/>
      <c r="H29" s="588"/>
      <c r="I29" s="588"/>
      <c r="J29" s="588"/>
      <c r="K29" s="588"/>
      <c r="L29" s="588"/>
      <c r="M29" s="588"/>
      <c r="N29" s="588"/>
      <c r="O29" s="588"/>
      <c r="P29" s="586"/>
    </row>
    <row r="30" spans="1:16" x14ac:dyDescent="0.2">
      <c r="A30" s="548" t="s">
        <v>373</v>
      </c>
      <c r="B30" s="548"/>
      <c r="C30" s="548"/>
      <c r="D30" s="548"/>
      <c r="E30" s="548"/>
      <c r="F30" s="548"/>
      <c r="G30" s="548"/>
      <c r="H30" s="548"/>
      <c r="I30" s="548"/>
      <c r="J30" s="548"/>
      <c r="K30" s="548"/>
      <c r="L30" s="548"/>
      <c r="M30" s="548"/>
      <c r="N30" s="548"/>
      <c r="O30" s="548"/>
      <c r="P30" s="586"/>
    </row>
    <row r="31" spans="1:16" ht="25.5" customHeight="1" x14ac:dyDescent="0.2">
      <c r="A31" s="755" t="s">
        <v>374</v>
      </c>
      <c r="B31" s="754"/>
      <c r="C31" s="754"/>
      <c r="D31" s="754"/>
      <c r="E31" s="754"/>
      <c r="F31" s="754"/>
      <c r="G31" s="754"/>
      <c r="H31" s="754"/>
      <c r="I31" s="754"/>
      <c r="J31" s="754"/>
      <c r="K31" s="754"/>
      <c r="L31" s="754"/>
      <c r="M31" s="754"/>
      <c r="N31" s="754"/>
      <c r="O31" s="754"/>
    </row>
    <row r="32" spans="1:16" x14ac:dyDescent="0.2">
      <c r="A32" s="547"/>
      <c r="O32" s="586"/>
    </row>
    <row r="33" spans="15:15" x14ac:dyDescent="0.2">
      <c r="O33" s="586"/>
    </row>
    <row r="34" spans="15:15" x14ac:dyDescent="0.2">
      <c r="O34" s="586"/>
    </row>
    <row r="35" spans="15:15" x14ac:dyDescent="0.2">
      <c r="O35" s="586"/>
    </row>
  </sheetData>
  <mergeCells count="5">
    <mergeCell ref="A1:O1"/>
    <mergeCell ref="A2:O2"/>
    <mergeCell ref="A3:O3"/>
    <mergeCell ref="A4:O4"/>
    <mergeCell ref="A31:O31"/>
  </mergeCells>
  <printOptions horizontalCentered="1"/>
  <pageMargins left="0.43307086614173229" right="0.78740157480314965" top="0.98425196850393704" bottom="0.98425196850393704" header="0" footer="0"/>
  <pageSetup paperSize="5" scale="8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31"/>
  <sheetViews>
    <sheetView zoomScaleNormal="100" workbookViewId="0">
      <selection activeCell="H38" sqref="H38"/>
    </sheetView>
  </sheetViews>
  <sheetFormatPr baseColWidth="10" defaultColWidth="11.42578125" defaultRowHeight="12.75" x14ac:dyDescent="0.2"/>
  <cols>
    <col min="1" max="1" width="16.85546875" style="532" customWidth="1"/>
    <col min="2" max="2" width="9.28515625" style="532" bestFit="1" customWidth="1"/>
    <col min="3" max="14" width="11.7109375" style="532" bestFit="1" customWidth="1"/>
    <col min="15" max="15" width="13" style="532" bestFit="1" customWidth="1"/>
    <col min="16" max="16384" width="11.42578125" style="532"/>
  </cols>
  <sheetData>
    <row r="1" spans="1:15" ht="15.75" x14ac:dyDescent="0.25">
      <c r="A1" s="746" t="s">
        <v>354</v>
      </c>
      <c r="B1" s="746"/>
      <c r="C1" s="746"/>
      <c r="D1" s="746"/>
      <c r="E1" s="746"/>
      <c r="F1" s="746"/>
      <c r="G1" s="746"/>
      <c r="H1" s="746"/>
      <c r="I1" s="746"/>
      <c r="J1" s="746"/>
      <c r="K1" s="746"/>
      <c r="L1" s="746"/>
      <c r="M1" s="746"/>
      <c r="N1" s="746"/>
      <c r="O1" s="746"/>
    </row>
    <row r="2" spans="1:15" x14ac:dyDescent="0.2">
      <c r="A2" s="747" t="s">
        <v>355</v>
      </c>
      <c r="B2" s="747"/>
      <c r="C2" s="747"/>
      <c r="D2" s="747"/>
      <c r="E2" s="747"/>
      <c r="F2" s="747"/>
      <c r="G2" s="747"/>
      <c r="H2" s="747"/>
      <c r="I2" s="747"/>
      <c r="J2" s="747"/>
      <c r="K2" s="747"/>
      <c r="L2" s="747"/>
      <c r="M2" s="747"/>
      <c r="N2" s="747"/>
      <c r="O2" s="747"/>
    </row>
    <row r="3" spans="1:15" x14ac:dyDescent="0.2">
      <c r="A3" s="747" t="s">
        <v>356</v>
      </c>
      <c r="B3" s="747"/>
      <c r="C3" s="747"/>
      <c r="D3" s="747"/>
      <c r="E3" s="747"/>
      <c r="F3" s="747"/>
      <c r="G3" s="747"/>
      <c r="H3" s="747"/>
      <c r="I3" s="747"/>
      <c r="J3" s="747"/>
      <c r="K3" s="747"/>
      <c r="L3" s="747"/>
      <c r="M3" s="747"/>
      <c r="N3" s="747"/>
      <c r="O3" s="747"/>
    </row>
    <row r="4" spans="1:15" x14ac:dyDescent="0.2">
      <c r="A4" s="748" t="s">
        <v>376</v>
      </c>
      <c r="B4" s="748"/>
      <c r="C4" s="748"/>
      <c r="D4" s="748"/>
      <c r="E4" s="748"/>
      <c r="F4" s="748"/>
      <c r="G4" s="748"/>
      <c r="H4" s="748"/>
      <c r="I4" s="748"/>
      <c r="J4" s="748"/>
      <c r="K4" s="748"/>
      <c r="L4" s="748"/>
      <c r="M4" s="748"/>
      <c r="N4" s="748"/>
      <c r="O4" s="748"/>
    </row>
    <row r="5" spans="1:15" ht="13.5" thickBot="1" x14ac:dyDescent="0.25"/>
    <row r="6" spans="1:15" ht="23.25" thickBot="1" x14ac:dyDescent="0.25">
      <c r="A6" s="533" t="s">
        <v>26</v>
      </c>
      <c r="B6" s="534" t="s">
        <v>358</v>
      </c>
      <c r="C6" s="533" t="s">
        <v>223</v>
      </c>
      <c r="D6" s="535" t="s">
        <v>224</v>
      </c>
      <c r="E6" s="533" t="s">
        <v>227</v>
      </c>
      <c r="F6" s="535" t="s">
        <v>230</v>
      </c>
      <c r="G6" s="533" t="s">
        <v>233</v>
      </c>
      <c r="H6" s="533" t="s">
        <v>235</v>
      </c>
      <c r="I6" s="533" t="s">
        <v>236</v>
      </c>
      <c r="J6" s="535" t="s">
        <v>238</v>
      </c>
      <c r="K6" s="533" t="s">
        <v>239</v>
      </c>
      <c r="L6" s="535" t="s">
        <v>240</v>
      </c>
      <c r="M6" s="533" t="s">
        <v>241</v>
      </c>
      <c r="N6" s="533" t="s">
        <v>242</v>
      </c>
      <c r="O6" s="536" t="s">
        <v>29</v>
      </c>
    </row>
    <row r="7" spans="1:15" x14ac:dyDescent="0.2">
      <c r="A7" s="537" t="s">
        <v>359</v>
      </c>
      <c r="B7" s="575">
        <v>3.6499999999999998E-2</v>
      </c>
      <c r="C7" s="576">
        <v>108515.59232688899</v>
      </c>
      <c r="D7" s="577">
        <v>109186.11860558472</v>
      </c>
      <c r="E7" s="576">
        <v>124058.65010120287</v>
      </c>
      <c r="F7" s="577">
        <v>119027.88731383004</v>
      </c>
      <c r="G7" s="576">
        <v>127038.63635508782</v>
      </c>
      <c r="H7" s="576">
        <v>122051.48316272711</v>
      </c>
      <c r="I7" s="578">
        <v>126529.47708009076</v>
      </c>
      <c r="J7" s="577">
        <v>125596.10193680914</v>
      </c>
      <c r="K7" s="576">
        <v>119822.41502762708</v>
      </c>
      <c r="L7" s="577">
        <v>126138.19845114372</v>
      </c>
      <c r="M7" s="576">
        <v>121486.08657087667</v>
      </c>
      <c r="N7" s="576">
        <v>89422.97806813092</v>
      </c>
      <c r="O7" s="579">
        <f t="shared" ref="O7:O26" si="0">SUM(C7:N7)</f>
        <v>1418873.625</v>
      </c>
    </row>
    <row r="8" spans="1:15" x14ac:dyDescent="0.2">
      <c r="A8" s="537" t="s">
        <v>33</v>
      </c>
      <c r="B8" s="580">
        <v>1.49E-2</v>
      </c>
      <c r="C8" s="576">
        <v>44298.145908784827</v>
      </c>
      <c r="D8" s="577">
        <v>44571.867595156502</v>
      </c>
      <c r="E8" s="576">
        <v>50643.120178299265</v>
      </c>
      <c r="F8" s="577">
        <v>48589.466328111448</v>
      </c>
      <c r="G8" s="576">
        <v>51859.607717556399</v>
      </c>
      <c r="H8" s="576">
        <v>49823.756140400932</v>
      </c>
      <c r="I8" s="576">
        <v>51651.759136804176</v>
      </c>
      <c r="J8" s="577">
        <v>51270.737502971402</v>
      </c>
      <c r="K8" s="576">
        <v>48913.807778401198</v>
      </c>
      <c r="L8" s="577">
        <v>51492.03169649429</v>
      </c>
      <c r="M8" s="576">
        <v>49592.950408385273</v>
      </c>
      <c r="N8" s="576">
        <v>36504.174608634268</v>
      </c>
      <c r="O8" s="579">
        <f t="shared" si="0"/>
        <v>579211.42500000005</v>
      </c>
    </row>
    <row r="9" spans="1:15" x14ac:dyDescent="0.2">
      <c r="A9" s="537" t="s">
        <v>32</v>
      </c>
      <c r="B9" s="580">
        <v>1.09E-2</v>
      </c>
      <c r="C9" s="576">
        <v>32406.026201728495</v>
      </c>
      <c r="D9" s="577">
        <v>32606.265556188315</v>
      </c>
      <c r="E9" s="576">
        <v>37047.651674057852</v>
      </c>
      <c r="F9" s="577">
        <v>35545.314293719115</v>
      </c>
      <c r="G9" s="576">
        <v>37937.565377272804</v>
      </c>
      <c r="H9" s="576">
        <v>36448.251136266452</v>
      </c>
      <c r="I9" s="576">
        <v>37785.515073232586</v>
      </c>
      <c r="J9" s="577">
        <v>37506.781126334783</v>
      </c>
      <c r="K9" s="576">
        <v>35782.584213729737</v>
      </c>
      <c r="L9" s="577">
        <v>37668.667482670317</v>
      </c>
      <c r="M9" s="576">
        <v>36279.406674590566</v>
      </c>
      <c r="N9" s="576">
        <v>26704.396190208961</v>
      </c>
      <c r="O9" s="579">
        <f t="shared" si="0"/>
        <v>423718.42499999999</v>
      </c>
    </row>
    <row r="10" spans="1:15" x14ac:dyDescent="0.2">
      <c r="A10" s="537" t="s">
        <v>360</v>
      </c>
      <c r="B10" s="580">
        <v>8.8200000000000001E-2</v>
      </c>
      <c r="C10" s="576">
        <v>262221.23954059207</v>
      </c>
      <c r="D10" s="577">
        <v>263841.52495924855</v>
      </c>
      <c r="E10" s="576">
        <v>299780.08051852317</v>
      </c>
      <c r="F10" s="577">
        <v>287623.55235835095</v>
      </c>
      <c r="G10" s="576">
        <v>306981.03360325331</v>
      </c>
      <c r="H10" s="576">
        <v>294929.88534116524</v>
      </c>
      <c r="I10" s="576">
        <v>305750.68160175357</v>
      </c>
      <c r="J10" s="577">
        <v>303495.23810483742</v>
      </c>
      <c r="K10" s="576">
        <v>289543.47960100573</v>
      </c>
      <c r="L10" s="577">
        <v>304805.18091481854</v>
      </c>
      <c r="M10" s="576">
        <v>293563.6393301732</v>
      </c>
      <c r="N10" s="576">
        <v>216085.114126278</v>
      </c>
      <c r="O10" s="579">
        <f t="shared" si="0"/>
        <v>3428620.65</v>
      </c>
    </row>
    <row r="11" spans="1:15" x14ac:dyDescent="0.2">
      <c r="A11" s="537" t="s">
        <v>34</v>
      </c>
      <c r="B11" s="580">
        <v>6.6299999999999998E-2</v>
      </c>
      <c r="C11" s="576">
        <v>197111.88414445863</v>
      </c>
      <c r="D11" s="577">
        <v>198329.85379589771</v>
      </c>
      <c r="E11" s="576">
        <v>225344.8904578014</v>
      </c>
      <c r="F11" s="577">
        <v>216206.81997005295</v>
      </c>
      <c r="G11" s="576">
        <v>230757.8517902006</v>
      </c>
      <c r="H11" s="576">
        <v>221698.99544352895</v>
      </c>
      <c r="I11" s="576">
        <v>229832.99535369911</v>
      </c>
      <c r="J11" s="577">
        <v>228137.57694275194</v>
      </c>
      <c r="K11" s="576">
        <v>217650.03058442948</v>
      </c>
      <c r="L11" s="577">
        <v>229122.2618441323</v>
      </c>
      <c r="M11" s="576">
        <v>220671.98738764721</v>
      </c>
      <c r="N11" s="576">
        <v>162431.32728539946</v>
      </c>
      <c r="O11" s="579">
        <f t="shared" si="0"/>
        <v>2577296.4750000001</v>
      </c>
    </row>
    <row r="12" spans="1:15" x14ac:dyDescent="0.2">
      <c r="A12" s="537" t="s">
        <v>361</v>
      </c>
      <c r="B12" s="580">
        <v>3.2199999999999999E-2</v>
      </c>
      <c r="C12" s="576">
        <v>95731.563641803441</v>
      </c>
      <c r="D12" s="577">
        <v>96323.096413693915</v>
      </c>
      <c r="E12" s="576">
        <v>109443.52145914338</v>
      </c>
      <c r="F12" s="577">
        <v>105005.42387685829</v>
      </c>
      <c r="G12" s="576">
        <v>112072.44083928295</v>
      </c>
      <c r="H12" s="576">
        <v>107672.81528328254</v>
      </c>
      <c r="I12" s="576">
        <v>111623.26471175131</v>
      </c>
      <c r="J12" s="577">
        <v>110799.84883192478</v>
      </c>
      <c r="K12" s="576">
        <v>105706.34969560527</v>
      </c>
      <c r="L12" s="577">
        <v>111278.08192128297</v>
      </c>
      <c r="M12" s="576">
        <v>107174.02705704737</v>
      </c>
      <c r="N12" s="576">
        <v>78888.216268323711</v>
      </c>
      <c r="O12" s="579">
        <f t="shared" si="0"/>
        <v>1251718.6499999999</v>
      </c>
    </row>
    <row r="13" spans="1:15" x14ac:dyDescent="0.2">
      <c r="A13" s="537" t="s">
        <v>47</v>
      </c>
      <c r="B13" s="580">
        <v>1.11E-2</v>
      </c>
      <c r="C13" s="576">
        <v>33000.632187081312</v>
      </c>
      <c r="D13" s="577">
        <v>33204.545658136725</v>
      </c>
      <c r="E13" s="576">
        <v>37727.425099269924</v>
      </c>
      <c r="F13" s="577">
        <v>36197.521895438731</v>
      </c>
      <c r="G13" s="576">
        <v>38633.667494286979</v>
      </c>
      <c r="H13" s="576">
        <v>37117.026386473175</v>
      </c>
      <c r="I13" s="576">
        <v>38478.827276411168</v>
      </c>
      <c r="J13" s="577">
        <v>38194.978945166622</v>
      </c>
      <c r="K13" s="576">
        <v>36439.145391963313</v>
      </c>
      <c r="L13" s="577">
        <v>38359.835693361521</v>
      </c>
      <c r="M13" s="576">
        <v>36945.083861280305</v>
      </c>
      <c r="N13" s="576">
        <v>27194.385111130228</v>
      </c>
      <c r="O13" s="579">
        <f t="shared" si="0"/>
        <v>431493.07500000001</v>
      </c>
    </row>
    <row r="14" spans="1:15" x14ac:dyDescent="0.2">
      <c r="A14" s="537" t="s">
        <v>35</v>
      </c>
      <c r="B14" s="580">
        <v>2.7099999999999999E-2</v>
      </c>
      <c r="C14" s="576">
        <v>80569.111015306626</v>
      </c>
      <c r="D14" s="577">
        <v>81066.953814009481</v>
      </c>
      <c r="E14" s="576">
        <v>92109.299116235561</v>
      </c>
      <c r="F14" s="577">
        <v>88374.13003300807</v>
      </c>
      <c r="G14" s="576">
        <v>94321.836855421367</v>
      </c>
      <c r="H14" s="576">
        <v>90619.046403011089</v>
      </c>
      <c r="I14" s="576">
        <v>93943.803530697522</v>
      </c>
      <c r="J14" s="577">
        <v>93250.804451713091</v>
      </c>
      <c r="K14" s="576">
        <v>88964.039650649152</v>
      </c>
      <c r="L14" s="577">
        <v>93653.292548657395</v>
      </c>
      <c r="M14" s="576">
        <v>90199.258796459122</v>
      </c>
      <c r="N14" s="576">
        <v>66393.498784831449</v>
      </c>
      <c r="O14" s="579">
        <f t="shared" si="0"/>
        <v>1053465.075</v>
      </c>
    </row>
    <row r="15" spans="1:15" x14ac:dyDescent="0.2">
      <c r="A15" s="537" t="s">
        <v>36</v>
      </c>
      <c r="B15" s="580">
        <v>1.6899999999999998E-2</v>
      </c>
      <c r="C15" s="576">
        <v>50244.20576231298</v>
      </c>
      <c r="D15" s="577">
        <v>50554.668614640592</v>
      </c>
      <c r="E15" s="576">
        <v>57440.85443041996</v>
      </c>
      <c r="F15" s="577">
        <v>55111.542345307607</v>
      </c>
      <c r="G15" s="576">
        <v>58820.628887698193</v>
      </c>
      <c r="H15" s="576">
        <v>56511.508642468165</v>
      </c>
      <c r="I15" s="576">
        <v>58584.881168589964</v>
      </c>
      <c r="J15" s="577">
        <v>58152.715691289712</v>
      </c>
      <c r="K15" s="576">
        <v>55479.419560736926</v>
      </c>
      <c r="L15" s="577">
        <v>58403.713803406266</v>
      </c>
      <c r="M15" s="576">
        <v>56249.72227528262</v>
      </c>
      <c r="N15" s="576">
        <v>41404.063817846916</v>
      </c>
      <c r="O15" s="579">
        <f t="shared" si="0"/>
        <v>656957.92499999993</v>
      </c>
    </row>
    <row r="16" spans="1:15" x14ac:dyDescent="0.2">
      <c r="A16" s="537" t="s">
        <v>46</v>
      </c>
      <c r="B16" s="580">
        <v>1.2699999999999999E-2</v>
      </c>
      <c r="C16" s="576">
        <v>37757.480069903839</v>
      </c>
      <c r="D16" s="577">
        <v>37990.786473723994</v>
      </c>
      <c r="E16" s="576">
        <v>43165.612500966483</v>
      </c>
      <c r="F16" s="577">
        <v>41415.182709195658</v>
      </c>
      <c r="G16" s="576">
        <v>44202.484430400422</v>
      </c>
      <c r="H16" s="576">
        <v>42467.228388126969</v>
      </c>
      <c r="I16" s="576">
        <v>44025.324901839798</v>
      </c>
      <c r="J16" s="577">
        <v>43700.561495821261</v>
      </c>
      <c r="K16" s="576">
        <v>41691.634817831895</v>
      </c>
      <c r="L16" s="577">
        <v>43889.181378891102</v>
      </c>
      <c r="M16" s="576">
        <v>42270.501354798187</v>
      </c>
      <c r="N16" s="576">
        <v>31114.296478500346</v>
      </c>
      <c r="O16" s="579">
        <f t="shared" si="0"/>
        <v>493690.27500000002</v>
      </c>
    </row>
    <row r="17" spans="1:15" x14ac:dyDescent="0.2">
      <c r="A17" s="537" t="s">
        <v>37</v>
      </c>
      <c r="B17" s="580">
        <v>3.39E-2</v>
      </c>
      <c r="C17" s="576">
        <v>100785.71451730239</v>
      </c>
      <c r="D17" s="577">
        <v>101408.47728025539</v>
      </c>
      <c r="E17" s="576">
        <v>115221.59557344597</v>
      </c>
      <c r="F17" s="577">
        <v>110549.18849147504</v>
      </c>
      <c r="G17" s="576">
        <v>117989.30883390349</v>
      </c>
      <c r="H17" s="576">
        <v>113357.4049100397</v>
      </c>
      <c r="I17" s="576">
        <v>117516.41843876924</v>
      </c>
      <c r="J17" s="577">
        <v>116649.53029199534</v>
      </c>
      <c r="K17" s="576">
        <v>111287.11971059065</v>
      </c>
      <c r="L17" s="577">
        <v>117153.01171215814</v>
      </c>
      <c r="M17" s="576">
        <v>112832.28314391011</v>
      </c>
      <c r="N17" s="576">
        <v>83053.122096154475</v>
      </c>
      <c r="O17" s="579">
        <f t="shared" si="0"/>
        <v>1317803.175</v>
      </c>
    </row>
    <row r="18" spans="1:15" x14ac:dyDescent="0.2">
      <c r="A18" s="537" t="s">
        <v>38</v>
      </c>
      <c r="B18" s="580">
        <v>2.2100000000000002E-2</v>
      </c>
      <c r="C18" s="576">
        <v>65703.961381486224</v>
      </c>
      <c r="D18" s="577">
        <v>66109.951265299242</v>
      </c>
      <c r="E18" s="576">
        <v>75114.963485933811</v>
      </c>
      <c r="F18" s="577">
        <v>72068.93999001765</v>
      </c>
      <c r="G18" s="576">
        <v>76919.283930066871</v>
      </c>
      <c r="H18" s="576">
        <v>73899.665147842999</v>
      </c>
      <c r="I18" s="576">
        <v>76610.998451233041</v>
      </c>
      <c r="J18" s="577">
        <v>76045.858980917328</v>
      </c>
      <c r="K18" s="576">
        <v>72550.010194809831</v>
      </c>
      <c r="L18" s="577">
        <v>76374.087281377448</v>
      </c>
      <c r="M18" s="576">
        <v>73557.329129215752</v>
      </c>
      <c r="N18" s="576">
        <v>54143.775761799821</v>
      </c>
      <c r="O18" s="579">
        <f t="shared" si="0"/>
        <v>859098.82499999995</v>
      </c>
    </row>
    <row r="19" spans="1:15" x14ac:dyDescent="0.2">
      <c r="A19" s="537" t="s">
        <v>39</v>
      </c>
      <c r="B19" s="580">
        <v>3.95E-2</v>
      </c>
      <c r="C19" s="576">
        <v>117434.68210718124</v>
      </c>
      <c r="D19" s="577">
        <v>118160.32013481087</v>
      </c>
      <c r="E19" s="576">
        <v>134255.25147938394</v>
      </c>
      <c r="F19" s="577">
        <v>128811.0013396243</v>
      </c>
      <c r="G19" s="576">
        <v>137480.16811030052</v>
      </c>
      <c r="H19" s="576">
        <v>132083.11191582796</v>
      </c>
      <c r="I19" s="576">
        <v>136929.16012776946</v>
      </c>
      <c r="J19" s="577">
        <v>135919.06921928661</v>
      </c>
      <c r="K19" s="576">
        <v>129670.8327011307</v>
      </c>
      <c r="L19" s="577">
        <v>136505.72161151172</v>
      </c>
      <c r="M19" s="576">
        <v>131471.24437122271</v>
      </c>
      <c r="N19" s="576">
        <v>96772.811881949907</v>
      </c>
      <c r="O19" s="579">
        <f t="shared" si="0"/>
        <v>1535493.375</v>
      </c>
    </row>
    <row r="20" spans="1:15" x14ac:dyDescent="0.2">
      <c r="A20" s="537" t="s">
        <v>362</v>
      </c>
      <c r="B20" s="580">
        <v>7.4999999999999997E-3</v>
      </c>
      <c r="C20" s="576">
        <v>22297.724450730617</v>
      </c>
      <c r="D20" s="577">
        <v>22435.503823065352</v>
      </c>
      <c r="E20" s="576">
        <v>25491.503445452647</v>
      </c>
      <c r="F20" s="577">
        <v>24457.785064485626</v>
      </c>
      <c r="G20" s="576">
        <v>26103.829388031743</v>
      </c>
      <c r="H20" s="576">
        <v>25079.071882752145</v>
      </c>
      <c r="I20" s="576">
        <v>25999.207619196732</v>
      </c>
      <c r="J20" s="577">
        <v>25807.418206193659</v>
      </c>
      <c r="K20" s="576">
        <v>24621.04418375899</v>
      </c>
      <c r="L20" s="577">
        <v>25918.807900919943</v>
      </c>
      <c r="M20" s="576">
        <v>24962.89450086507</v>
      </c>
      <c r="N20" s="576">
        <v>18374.584534547448</v>
      </c>
      <c r="O20" s="579">
        <f t="shared" si="0"/>
        <v>291549.375</v>
      </c>
    </row>
    <row r="21" spans="1:15" x14ac:dyDescent="0.2">
      <c r="A21" s="537" t="s">
        <v>363</v>
      </c>
      <c r="B21" s="580">
        <v>2.2800000000000001E-2</v>
      </c>
      <c r="C21" s="576">
        <v>67785.082330221077</v>
      </c>
      <c r="D21" s="577">
        <v>68203.931622118675</v>
      </c>
      <c r="E21" s="576">
        <v>77494.170474176048</v>
      </c>
      <c r="F21" s="577">
        <v>74351.666596036303</v>
      </c>
      <c r="G21" s="576">
        <v>79355.641339616501</v>
      </c>
      <c r="H21" s="576">
        <v>76240.378523566527</v>
      </c>
      <c r="I21" s="576">
        <v>79037.591162358076</v>
      </c>
      <c r="J21" s="577">
        <v>78454.551346828724</v>
      </c>
      <c r="K21" s="576">
        <v>74847.974318627341</v>
      </c>
      <c r="L21" s="577">
        <v>78793.176018796628</v>
      </c>
      <c r="M21" s="576">
        <v>75887.199282629823</v>
      </c>
      <c r="N21" s="576">
        <v>55858.736985024247</v>
      </c>
      <c r="O21" s="579">
        <f t="shared" si="0"/>
        <v>886310.10000000009</v>
      </c>
    </row>
    <row r="22" spans="1:15" x14ac:dyDescent="0.2">
      <c r="A22" s="537" t="s">
        <v>364</v>
      </c>
      <c r="B22" s="580">
        <v>8.8800000000000004E-2</v>
      </c>
      <c r="C22" s="576">
        <v>264005.05749665049</v>
      </c>
      <c r="D22" s="577">
        <v>265636.3652650938</v>
      </c>
      <c r="E22" s="576">
        <v>301819.40079415939</v>
      </c>
      <c r="F22" s="577">
        <v>289580.17516350985</v>
      </c>
      <c r="G22" s="576">
        <v>309069.33995429584</v>
      </c>
      <c r="H22" s="576">
        <v>296936.2110917854</v>
      </c>
      <c r="I22" s="576">
        <v>307830.61821128934</v>
      </c>
      <c r="J22" s="577">
        <v>305559.83156133298</v>
      </c>
      <c r="K22" s="576">
        <v>291513.16313570651</v>
      </c>
      <c r="L22" s="577">
        <v>306878.68554689217</v>
      </c>
      <c r="M22" s="576">
        <v>295560.67089024244</v>
      </c>
      <c r="N22" s="576">
        <v>217555.08088904183</v>
      </c>
      <c r="O22" s="579">
        <f t="shared" si="0"/>
        <v>3451944.6</v>
      </c>
    </row>
    <row r="23" spans="1:15" x14ac:dyDescent="0.2">
      <c r="A23" s="537" t="s">
        <v>42</v>
      </c>
      <c r="B23" s="580">
        <v>3.9199999999999999E-2</v>
      </c>
      <c r="C23" s="576">
        <v>116542.77312915202</v>
      </c>
      <c r="D23" s="577">
        <v>117262.89998188824</v>
      </c>
      <c r="E23" s="576">
        <v>133235.59134156583</v>
      </c>
      <c r="F23" s="577">
        <v>127832.68993704488</v>
      </c>
      <c r="G23" s="576">
        <v>136436.01493477923</v>
      </c>
      <c r="H23" s="576">
        <v>131079.94904051788</v>
      </c>
      <c r="I23" s="576">
        <v>135889.19182300157</v>
      </c>
      <c r="J23" s="577">
        <v>134886.77249103886</v>
      </c>
      <c r="K23" s="576">
        <v>128685.99093378033</v>
      </c>
      <c r="L23" s="577">
        <v>135468.9692954749</v>
      </c>
      <c r="M23" s="576">
        <v>130472.72859118809</v>
      </c>
      <c r="N23" s="576">
        <v>96037.828500568008</v>
      </c>
      <c r="O23" s="579">
        <f t="shared" si="0"/>
        <v>1523831.4</v>
      </c>
    </row>
    <row r="24" spans="1:15" x14ac:dyDescent="0.2">
      <c r="A24" s="537" t="s">
        <v>30</v>
      </c>
      <c r="B24" s="580">
        <v>0.35420000000000001</v>
      </c>
      <c r="C24" s="576">
        <v>1053047.2000598379</v>
      </c>
      <c r="D24" s="577">
        <v>1059554.0605506331</v>
      </c>
      <c r="E24" s="576">
        <v>1203878.7360505771</v>
      </c>
      <c r="F24" s="577">
        <v>1155059.6626454412</v>
      </c>
      <c r="G24" s="576">
        <v>1232796.8492321125</v>
      </c>
      <c r="H24" s="576">
        <v>1184400.9681161081</v>
      </c>
      <c r="I24" s="576">
        <v>1227855.9118292644</v>
      </c>
      <c r="J24" s="577">
        <v>1218798.3371511726</v>
      </c>
      <c r="K24" s="576">
        <v>1162769.846651658</v>
      </c>
      <c r="L24" s="577">
        <v>1224058.9011341126</v>
      </c>
      <c r="M24" s="576">
        <v>1178914.297627521</v>
      </c>
      <c r="N24" s="576">
        <v>867770.37895156094</v>
      </c>
      <c r="O24" s="579">
        <f t="shared" si="0"/>
        <v>13768905.150000002</v>
      </c>
    </row>
    <row r="25" spans="1:15" x14ac:dyDescent="0.2">
      <c r="A25" s="537" t="s">
        <v>43</v>
      </c>
      <c r="B25" s="580">
        <v>0.03</v>
      </c>
      <c r="C25" s="576">
        <v>89190.897802922467</v>
      </c>
      <c r="D25" s="577">
        <v>89742.015292261407</v>
      </c>
      <c r="E25" s="576">
        <v>101966.01378181059</v>
      </c>
      <c r="F25" s="577">
        <v>97831.140257942505</v>
      </c>
      <c r="G25" s="576">
        <v>104415.31755212697</v>
      </c>
      <c r="H25" s="576">
        <v>100316.28753100858</v>
      </c>
      <c r="I25" s="576">
        <v>103996.83047678693</v>
      </c>
      <c r="J25" s="577">
        <v>103229.67282477464</v>
      </c>
      <c r="K25" s="576">
        <v>98484.176735035959</v>
      </c>
      <c r="L25" s="577">
        <v>103675.23160367977</v>
      </c>
      <c r="M25" s="576">
        <v>99851.578003460279</v>
      </c>
      <c r="N25" s="576">
        <v>73498.338138189793</v>
      </c>
      <c r="O25" s="579">
        <f t="shared" si="0"/>
        <v>1166197.5</v>
      </c>
    </row>
    <row r="26" spans="1:15" ht="13.5" thickBot="1" x14ac:dyDescent="0.25">
      <c r="A26" s="537" t="s">
        <v>44</v>
      </c>
      <c r="B26" s="583">
        <v>4.5199999999999997E-2</v>
      </c>
      <c r="C26" s="576">
        <v>134380.9526897365</v>
      </c>
      <c r="D26" s="577">
        <v>135211.30304034051</v>
      </c>
      <c r="E26" s="576">
        <v>153628.79409792795</v>
      </c>
      <c r="F26" s="577">
        <v>147398.91798863336</v>
      </c>
      <c r="G26" s="576">
        <v>157319.07844520462</v>
      </c>
      <c r="H26" s="576">
        <v>151143.20654671959</v>
      </c>
      <c r="I26" s="584">
        <v>156688.55791835897</v>
      </c>
      <c r="J26" s="577">
        <v>155532.70705599379</v>
      </c>
      <c r="K26" s="576">
        <v>148382.82628078753</v>
      </c>
      <c r="L26" s="577">
        <v>156204.01561621085</v>
      </c>
      <c r="M26" s="576">
        <v>150443.04419188015</v>
      </c>
      <c r="N26" s="576">
        <v>110737.49612820595</v>
      </c>
      <c r="O26" s="579">
        <f t="shared" si="0"/>
        <v>1757070.9</v>
      </c>
    </row>
    <row r="27" spans="1:15" ht="13.5" thickBot="1" x14ac:dyDescent="0.25">
      <c r="A27" s="544" t="s">
        <v>365</v>
      </c>
      <c r="B27" s="581">
        <f t="shared" ref="B27:O27" si="1">SUM(B7:B26)</f>
        <v>1</v>
      </c>
      <c r="C27" s="585">
        <f t="shared" si="1"/>
        <v>2973029.9267640822</v>
      </c>
      <c r="D27" s="585">
        <f t="shared" si="1"/>
        <v>2991400.5097420472</v>
      </c>
      <c r="E27" s="585">
        <f t="shared" si="1"/>
        <v>3398867.1260603536</v>
      </c>
      <c r="F27" s="585">
        <f t="shared" si="1"/>
        <v>3261038.0085980836</v>
      </c>
      <c r="G27" s="585">
        <f t="shared" si="1"/>
        <v>3480510.5850708988</v>
      </c>
      <c r="H27" s="585">
        <f t="shared" si="1"/>
        <v>3343876.25103362</v>
      </c>
      <c r="I27" s="585">
        <f t="shared" si="1"/>
        <v>3466561.0158928977</v>
      </c>
      <c r="J27" s="585">
        <f t="shared" si="1"/>
        <v>3440989.0941591547</v>
      </c>
      <c r="K27" s="585">
        <f t="shared" si="1"/>
        <v>3282805.8911678661</v>
      </c>
      <c r="L27" s="585">
        <f t="shared" si="1"/>
        <v>3455841.0534559926</v>
      </c>
      <c r="M27" s="585">
        <f t="shared" si="1"/>
        <v>3328385.933448676</v>
      </c>
      <c r="N27" s="585">
        <f t="shared" si="1"/>
        <v>2449944.6046063262</v>
      </c>
      <c r="O27" s="585">
        <f t="shared" si="1"/>
        <v>38873250</v>
      </c>
    </row>
    <row r="28" spans="1:15" x14ac:dyDescent="0.2">
      <c r="A28" s="547" t="s">
        <v>366</v>
      </c>
      <c r="B28" s="548"/>
      <c r="C28" s="548"/>
      <c r="D28" s="548"/>
      <c r="E28" s="548"/>
      <c r="F28" s="548"/>
      <c r="G28" s="548"/>
      <c r="H28" s="548"/>
      <c r="I28" s="548"/>
      <c r="J28" s="548"/>
      <c r="K28" s="548"/>
      <c r="L28" s="548"/>
      <c r="M28" s="548"/>
      <c r="N28" s="548"/>
      <c r="O28" s="548"/>
    </row>
    <row r="29" spans="1:15" x14ac:dyDescent="0.2">
      <c r="A29" s="547"/>
    </row>
    <row r="30" spans="1:15" x14ac:dyDescent="0.2">
      <c r="A30" s="548" t="s">
        <v>373</v>
      </c>
      <c r="B30" s="548"/>
      <c r="C30" s="548"/>
      <c r="D30" s="548"/>
      <c r="E30" s="548"/>
      <c r="F30" s="548"/>
      <c r="G30" s="548"/>
      <c r="H30" s="548"/>
      <c r="I30" s="548"/>
      <c r="J30" s="548"/>
      <c r="K30" s="548"/>
      <c r="L30" s="548"/>
      <c r="M30" s="548"/>
      <c r="N30" s="548"/>
      <c r="O30" s="548"/>
    </row>
    <row r="31" spans="1:15" ht="27" customHeight="1" x14ac:dyDescent="0.2">
      <c r="A31" s="755" t="s">
        <v>374</v>
      </c>
      <c r="B31" s="754"/>
      <c r="C31" s="754"/>
      <c r="D31" s="754"/>
      <c r="E31" s="754"/>
      <c r="F31" s="754"/>
      <c r="G31" s="754"/>
      <c r="H31" s="754"/>
      <c r="I31" s="754"/>
      <c r="J31" s="754"/>
      <c r="K31" s="754"/>
      <c r="L31" s="754"/>
      <c r="M31" s="754"/>
      <c r="N31" s="754"/>
      <c r="O31" s="754"/>
    </row>
  </sheetData>
  <mergeCells count="5">
    <mergeCell ref="A1:O1"/>
    <mergeCell ref="A2:O2"/>
    <mergeCell ref="A3:O3"/>
    <mergeCell ref="A4:O4"/>
    <mergeCell ref="A31:O31"/>
  </mergeCells>
  <printOptions horizontalCentered="1"/>
  <pageMargins left="0.78740157480314965" right="0.78740157480314965" top="0.98425196850393704" bottom="0.98425196850393704" header="0" footer="0"/>
  <pageSetup paperSize="5" scale="8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showGridLines="0" zoomScaleNormal="100" workbookViewId="0"/>
  </sheetViews>
  <sheetFormatPr baseColWidth="10" defaultColWidth="9.140625" defaultRowHeight="15" x14ac:dyDescent="0.25"/>
  <cols>
    <col min="2" max="2" width="7.85546875" customWidth="1"/>
  </cols>
  <sheetData>
    <row r="3" spans="2:4" ht="69" x14ac:dyDescent="1.1499999999999999">
      <c r="B3" s="165" t="s">
        <v>127</v>
      </c>
    </row>
    <row r="4" spans="2:4" ht="69" x14ac:dyDescent="1.1499999999999999">
      <c r="C4" s="164"/>
    </row>
    <row r="9" spans="2:4" ht="61.5" x14ac:dyDescent="0.9">
      <c r="D9" s="163"/>
    </row>
    <row r="20" spans="3:3" x14ac:dyDescent="0.25">
      <c r="C20" s="16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2"/>
  <sheetViews>
    <sheetView topLeftCell="A7" zoomScale="90" zoomScaleNormal="90" workbookViewId="0">
      <selection activeCell="T21" sqref="T21"/>
    </sheetView>
  </sheetViews>
  <sheetFormatPr baseColWidth="10" defaultRowHeight="15" x14ac:dyDescent="0.25"/>
  <cols>
    <col min="1" max="1" width="20.42578125" customWidth="1"/>
    <col min="2" max="2" width="19.7109375" hidden="1" customWidth="1"/>
    <col min="3" max="3" width="15.85546875" hidden="1" customWidth="1"/>
    <col min="4" max="4" width="12.7109375" hidden="1" customWidth="1"/>
    <col min="5" max="7" width="14.85546875" hidden="1" customWidth="1"/>
    <col min="8" max="8" width="18.85546875" style="351" hidden="1" customWidth="1"/>
    <col min="9" max="9" width="18.5703125" hidden="1" customWidth="1"/>
    <col min="10" max="11" width="19.42578125" hidden="1" customWidth="1"/>
    <col min="12" max="12" width="18.42578125" hidden="1" customWidth="1"/>
    <col min="13" max="13" width="15.42578125" hidden="1" customWidth="1"/>
    <col min="14" max="16" width="14.42578125" hidden="1" customWidth="1"/>
    <col min="17" max="17" width="18.85546875" hidden="1" customWidth="1"/>
    <col min="18" max="18" width="19" hidden="1" customWidth="1"/>
    <col min="19" max="19" width="17.5703125" bestFit="1" customWidth="1"/>
    <col min="20" max="20" width="16.5703125" bestFit="1" customWidth="1"/>
    <col min="21" max="21" width="16.42578125" bestFit="1" customWidth="1"/>
    <col min="22" max="22" width="20" customWidth="1"/>
    <col min="23" max="23" width="14.85546875" bestFit="1" customWidth="1"/>
    <col min="24" max="24" width="16.140625" customWidth="1"/>
    <col min="25" max="25" width="14.7109375" customWidth="1"/>
    <col min="26" max="26" width="17.5703125" bestFit="1" customWidth="1"/>
    <col min="27" max="27" width="14.7109375" customWidth="1"/>
    <col min="28" max="28" width="16.42578125" customWidth="1"/>
    <col min="29" max="29" width="14.28515625" customWidth="1"/>
    <col min="30" max="30" width="17.5703125" bestFit="1" customWidth="1"/>
    <col min="31" max="31" width="14.7109375" customWidth="1"/>
    <col min="32" max="32" width="15.140625" customWidth="1"/>
    <col min="33" max="33" width="14.5703125" customWidth="1"/>
    <col min="34" max="34" width="15.42578125" style="152" customWidth="1"/>
    <col min="35" max="35" width="13.85546875" style="152" customWidth="1"/>
  </cols>
  <sheetData>
    <row r="1" spans="1:45" ht="18.75" x14ac:dyDescent="0.3">
      <c r="A1" s="622" t="s">
        <v>252</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c r="AI1" s="622"/>
    </row>
    <row r="2" spans="1:45" x14ac:dyDescent="0.25">
      <c r="A2" s="1"/>
      <c r="B2" s="1"/>
      <c r="C2" s="1"/>
      <c r="D2" s="1"/>
      <c r="E2" s="1"/>
      <c r="F2" s="1"/>
      <c r="G2" s="1"/>
      <c r="T2" s="353"/>
      <c r="U2" s="353"/>
      <c r="V2" s="353"/>
    </row>
    <row r="3" spans="1:45" ht="18.75" customHeight="1" x14ac:dyDescent="0.25">
      <c r="A3" s="623" t="s">
        <v>253</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row>
    <row r="4" spans="1:45" ht="15.75" thickBot="1" x14ac:dyDescent="0.3">
      <c r="A4" s="624"/>
      <c r="B4" s="624"/>
      <c r="C4" s="624"/>
      <c r="D4" s="624"/>
      <c r="E4" s="624"/>
      <c r="F4" s="624"/>
      <c r="G4" s="624"/>
      <c r="H4" s="624"/>
      <c r="I4" s="624"/>
      <c r="J4" s="624"/>
      <c r="K4" s="624"/>
      <c r="L4" s="624"/>
      <c r="M4" s="624"/>
      <c r="N4" s="624"/>
      <c r="O4" s="624"/>
      <c r="P4" s="624"/>
      <c r="Q4" s="624"/>
      <c r="R4" s="624"/>
      <c r="S4" s="624"/>
      <c r="T4" s="624"/>
      <c r="U4" s="353"/>
      <c r="V4" s="353"/>
    </row>
    <row r="5" spans="1:45" ht="45" customHeight="1" thickBot="1" x14ac:dyDescent="0.3">
      <c r="A5" s="625" t="s">
        <v>26</v>
      </c>
      <c r="B5" s="65"/>
      <c r="C5" s="65"/>
      <c r="D5" s="65"/>
      <c r="E5" s="65"/>
      <c r="F5" s="65"/>
      <c r="G5" s="65"/>
      <c r="H5" s="65"/>
      <c r="I5" s="126"/>
      <c r="J5" s="109"/>
      <c r="K5" s="109"/>
      <c r="L5" s="109"/>
      <c r="M5" s="109"/>
      <c r="N5" s="109"/>
      <c r="O5" s="109"/>
      <c r="P5" s="109"/>
      <c r="Q5" s="109"/>
      <c r="R5" s="109"/>
      <c r="S5" s="628" t="s">
        <v>254</v>
      </c>
      <c r="T5" s="629"/>
      <c r="U5" s="628" t="s">
        <v>255</v>
      </c>
      <c r="V5" s="606"/>
      <c r="W5" s="629"/>
      <c r="X5" s="605" t="s">
        <v>256</v>
      </c>
      <c r="Y5" s="606"/>
      <c r="Z5" s="609" t="s">
        <v>257</v>
      </c>
      <c r="AA5" s="605"/>
      <c r="AB5" s="628" t="s">
        <v>258</v>
      </c>
      <c r="AC5" s="630"/>
      <c r="AD5" s="628" t="s">
        <v>259</v>
      </c>
      <c r="AE5" s="629"/>
      <c r="AF5" s="628" t="s">
        <v>126</v>
      </c>
      <c r="AG5" s="629"/>
      <c r="AH5" s="631" t="s">
        <v>125</v>
      </c>
      <c r="AI5" s="632"/>
      <c r="AJ5" s="390"/>
      <c r="AK5" s="22"/>
      <c r="AL5" s="22"/>
      <c r="AM5" s="22"/>
      <c r="AN5" s="22"/>
      <c r="AO5" s="22"/>
      <c r="AP5" s="22"/>
      <c r="AQ5" s="22"/>
      <c r="AR5" s="22"/>
      <c r="AS5" s="41"/>
    </row>
    <row r="6" spans="1:45" ht="15.75" customHeight="1" x14ac:dyDescent="0.25">
      <c r="A6" s="626"/>
      <c r="B6" s="614" t="s">
        <v>109</v>
      </c>
      <c r="C6" s="36"/>
      <c r="D6" s="105"/>
      <c r="E6" s="634" t="s">
        <v>110</v>
      </c>
      <c r="F6" s="634"/>
      <c r="G6" s="634"/>
      <c r="H6" s="634"/>
      <c r="I6" s="614" t="s">
        <v>108</v>
      </c>
      <c r="J6" s="614"/>
      <c r="K6" s="614"/>
      <c r="L6" s="614"/>
      <c r="M6" s="614" t="s">
        <v>112</v>
      </c>
      <c r="N6" s="614" t="s">
        <v>115</v>
      </c>
      <c r="O6" s="614"/>
      <c r="P6" s="614"/>
      <c r="Q6" s="614"/>
      <c r="R6" s="636"/>
      <c r="S6" s="391"/>
      <c r="T6" s="637" t="s">
        <v>50</v>
      </c>
      <c r="U6" s="392"/>
      <c r="V6" s="617" t="s">
        <v>122</v>
      </c>
      <c r="W6" s="610" t="s">
        <v>50</v>
      </c>
      <c r="X6" s="393"/>
      <c r="Y6" s="607" t="s">
        <v>50</v>
      </c>
      <c r="Z6" s="399"/>
      <c r="AA6" s="607" t="s">
        <v>50</v>
      </c>
      <c r="AB6" s="401"/>
      <c r="AC6" s="607" t="s">
        <v>50</v>
      </c>
      <c r="AD6" s="392"/>
      <c r="AE6" s="610" t="s">
        <v>50</v>
      </c>
      <c r="AF6" s="154"/>
      <c r="AG6" s="620" t="s">
        <v>50</v>
      </c>
      <c r="AH6" s="154"/>
      <c r="AI6" s="620" t="s">
        <v>50</v>
      </c>
    </row>
    <row r="7" spans="1:45" ht="15.75" customHeight="1" x14ac:dyDescent="0.25">
      <c r="A7" s="626"/>
      <c r="B7" s="633"/>
      <c r="C7" s="354" t="s">
        <v>52</v>
      </c>
      <c r="D7" s="612" t="s">
        <v>0</v>
      </c>
      <c r="E7" s="612"/>
      <c r="F7" s="354" t="s">
        <v>58</v>
      </c>
      <c r="G7" s="354" t="s">
        <v>114</v>
      </c>
      <c r="H7" s="106" t="s">
        <v>56</v>
      </c>
      <c r="I7" s="613" t="s">
        <v>62</v>
      </c>
      <c r="J7" s="614" t="s">
        <v>63</v>
      </c>
      <c r="K7" s="354" t="s">
        <v>114</v>
      </c>
      <c r="L7" s="614" t="s">
        <v>67</v>
      </c>
      <c r="M7" s="633"/>
      <c r="N7" s="613" t="s">
        <v>111</v>
      </c>
      <c r="O7" s="355"/>
      <c r="P7" s="355"/>
      <c r="Q7" s="354" t="s">
        <v>58</v>
      </c>
      <c r="R7" s="116" t="s">
        <v>69</v>
      </c>
      <c r="S7" s="403" t="s">
        <v>120</v>
      </c>
      <c r="T7" s="637"/>
      <c r="U7" s="403" t="s">
        <v>120</v>
      </c>
      <c r="V7" s="618"/>
      <c r="W7" s="611"/>
      <c r="X7" s="404" t="s">
        <v>120</v>
      </c>
      <c r="Y7" s="608"/>
      <c r="Z7" s="403" t="s">
        <v>120</v>
      </c>
      <c r="AA7" s="608"/>
      <c r="AB7" s="403" t="s">
        <v>120</v>
      </c>
      <c r="AC7" s="608"/>
      <c r="AD7" s="403" t="s">
        <v>120</v>
      </c>
      <c r="AE7" s="611"/>
      <c r="AF7" s="155" t="s">
        <v>120</v>
      </c>
      <c r="AG7" s="621"/>
      <c r="AH7" s="155" t="s">
        <v>120</v>
      </c>
      <c r="AI7" s="621"/>
    </row>
    <row r="8" spans="1:45" ht="15.75" customHeight="1" x14ac:dyDescent="0.25">
      <c r="A8" s="626"/>
      <c r="B8" s="633"/>
      <c r="C8" s="354" t="s">
        <v>53</v>
      </c>
      <c r="D8" s="612">
        <v>2010</v>
      </c>
      <c r="E8" s="612"/>
      <c r="F8" s="354" t="s">
        <v>64</v>
      </c>
      <c r="G8" s="354" t="s">
        <v>95</v>
      </c>
      <c r="H8" s="106" t="s">
        <v>57</v>
      </c>
      <c r="I8" s="613"/>
      <c r="J8" s="614"/>
      <c r="K8" s="354" t="s">
        <v>95</v>
      </c>
      <c r="L8" s="614"/>
      <c r="M8" s="633"/>
      <c r="N8" s="615"/>
      <c r="O8" s="356"/>
      <c r="P8" s="356"/>
      <c r="Q8" s="354" t="s">
        <v>113</v>
      </c>
      <c r="R8" s="116" t="s">
        <v>70</v>
      </c>
      <c r="S8" s="403" t="s">
        <v>121</v>
      </c>
      <c r="T8" s="637"/>
      <c r="U8" s="403" t="s">
        <v>121</v>
      </c>
      <c r="V8" s="618"/>
      <c r="W8" s="611"/>
      <c r="X8" s="404" t="s">
        <v>121</v>
      </c>
      <c r="Y8" s="608"/>
      <c r="Z8" s="403" t="s">
        <v>121</v>
      </c>
      <c r="AA8" s="608"/>
      <c r="AB8" s="403" t="s">
        <v>121</v>
      </c>
      <c r="AC8" s="608"/>
      <c r="AD8" s="403" t="s">
        <v>121</v>
      </c>
      <c r="AE8" s="611"/>
      <c r="AF8" s="155" t="s">
        <v>121</v>
      </c>
      <c r="AG8" s="621"/>
      <c r="AH8" s="155" t="s">
        <v>121</v>
      </c>
      <c r="AI8" s="621"/>
    </row>
    <row r="9" spans="1:45" ht="15.75" customHeight="1" thickBot="1" x14ac:dyDescent="0.3">
      <c r="A9" s="627"/>
      <c r="B9" s="127">
        <v>2014</v>
      </c>
      <c r="C9" s="127" t="s">
        <v>51</v>
      </c>
      <c r="D9" s="128" t="s">
        <v>54</v>
      </c>
      <c r="E9" s="128" t="s">
        <v>55</v>
      </c>
      <c r="F9" s="128" t="s">
        <v>65</v>
      </c>
      <c r="G9" s="129">
        <v>0.6</v>
      </c>
      <c r="H9" s="130">
        <v>0.6</v>
      </c>
      <c r="I9" s="128" t="s">
        <v>116</v>
      </c>
      <c r="J9" s="128"/>
      <c r="K9" s="129">
        <v>0.3</v>
      </c>
      <c r="L9" s="128" t="s">
        <v>68</v>
      </c>
      <c r="M9" s="635"/>
      <c r="N9" s="616"/>
      <c r="O9" s="357"/>
      <c r="P9" s="357"/>
      <c r="Q9" s="128" t="s">
        <v>91</v>
      </c>
      <c r="R9" s="131" t="s">
        <v>90</v>
      </c>
      <c r="S9" s="394"/>
      <c r="T9" s="638"/>
      <c r="U9" s="395"/>
      <c r="V9" s="619"/>
      <c r="W9" s="396" t="s">
        <v>106</v>
      </c>
      <c r="X9" s="398"/>
      <c r="Y9" s="397" t="s">
        <v>106</v>
      </c>
      <c r="Z9" s="400"/>
      <c r="AA9" s="397" t="s">
        <v>106</v>
      </c>
      <c r="AB9" s="400"/>
      <c r="AC9" s="397" t="s">
        <v>106</v>
      </c>
      <c r="AD9" s="402"/>
      <c r="AE9" s="396" t="s">
        <v>106</v>
      </c>
      <c r="AF9" s="156"/>
      <c r="AG9" s="153" t="s">
        <v>106</v>
      </c>
      <c r="AH9" s="156"/>
      <c r="AI9" s="153" t="s">
        <v>106</v>
      </c>
    </row>
    <row r="10" spans="1:45" ht="27" customHeight="1" x14ac:dyDescent="0.25">
      <c r="A10" s="134" t="s">
        <v>3</v>
      </c>
      <c r="B10" s="132">
        <v>3.62</v>
      </c>
      <c r="C10" s="121">
        <f>[1]Datos!I$13*B10%</f>
        <v>35350314.182820007</v>
      </c>
      <c r="D10" s="122">
        <f>E10/E$30*100</f>
        <v>3.3707564846877225</v>
      </c>
      <c r="E10" s="123">
        <v>36572</v>
      </c>
      <c r="F10" s="107">
        <f>D10</f>
        <v>3.3707564846877225</v>
      </c>
      <c r="G10" s="107">
        <f>F10*0.6</f>
        <v>2.0224538908126335</v>
      </c>
      <c r="H10" s="124">
        <f>[1]Datos!$K$18*'Porcentaje y Montos'!G10/100</f>
        <v>5653240.9108052226</v>
      </c>
      <c r="I10" s="122">
        <v>1.210777</v>
      </c>
      <c r="J10" s="122">
        <f>I10/$I$30*100</f>
        <v>5.6616379474610792</v>
      </c>
      <c r="K10" s="122">
        <f>J10*0.3</f>
        <v>1.6984913842383238</v>
      </c>
      <c r="L10" s="123">
        <f>[1]Datos!$K$18*'Porcentaje y Montos'!K10/100</f>
        <v>4747688.4509679256</v>
      </c>
      <c r="M10" s="108">
        <f>H10+L10</f>
        <v>10400929.361773148</v>
      </c>
      <c r="N10" s="122">
        <f>K10+G10</f>
        <v>3.7209452750509575</v>
      </c>
      <c r="O10" s="122">
        <f>1/N10</f>
        <v>0.26874891353684455</v>
      </c>
      <c r="P10" s="122">
        <f>O10/$O$30*100</f>
        <v>4.2169783378374488</v>
      </c>
      <c r="Q10" s="122">
        <f>P10*0.1</f>
        <v>0.42169783378374492</v>
      </c>
      <c r="R10" s="125">
        <f>Q10*[1]Datos!$K$18/100</f>
        <v>1178746.0059157736</v>
      </c>
      <c r="S10" s="406">
        <v>3.5552096033045144</v>
      </c>
      <c r="T10" s="407">
        <v>45287972.819897771</v>
      </c>
      <c r="U10" s="408">
        <v>2.4807375725269392</v>
      </c>
      <c r="V10" s="409">
        <v>0</v>
      </c>
      <c r="W10" s="410">
        <v>16520093.831775276</v>
      </c>
      <c r="X10" s="411">
        <v>3.94</v>
      </c>
      <c r="Y10" s="412">
        <v>764368.80984</v>
      </c>
      <c r="Z10" s="413">
        <v>3.1589687142796663</v>
      </c>
      <c r="AA10" s="412">
        <v>1812872.4345718217</v>
      </c>
      <c r="AB10" s="413">
        <f>'[2]FOFIR 2018'!I9</f>
        <v>0.30783639567683346</v>
      </c>
      <c r="AC10" s="414">
        <f>'[2]FOFIR 2018'!K9</f>
        <v>1675108.310470873</v>
      </c>
      <c r="AD10" s="415">
        <f>[2]FOCO2018!J10</f>
        <v>3.2030262563385246</v>
      </c>
      <c r="AE10" s="410">
        <f>[2]FOCO2018!L10</f>
        <v>3400039.6341328258</v>
      </c>
      <c r="AF10" s="416">
        <v>3.5552096033045144</v>
      </c>
      <c r="AG10" s="417">
        <v>78374.816754023952</v>
      </c>
      <c r="AH10" s="415">
        <v>3.5552096033045144</v>
      </c>
      <c r="AI10" s="410">
        <v>288957.02893689094</v>
      </c>
      <c r="AJ10" s="11"/>
      <c r="AK10" s="11"/>
      <c r="AL10" s="11"/>
    </row>
    <row r="11" spans="1:45" ht="27" customHeight="1" x14ac:dyDescent="0.25">
      <c r="A11" s="135" t="s">
        <v>4</v>
      </c>
      <c r="B11" s="133">
        <v>2.4700000000000002</v>
      </c>
      <c r="C11" s="100">
        <f>[1]Datos!I$13*B11%</f>
        <v>24120241.997670002</v>
      </c>
      <c r="D11" s="94">
        <f t="shared" ref="D11:D29" si="0">E11/E$30*100</f>
        <v>1.4036216369164749</v>
      </c>
      <c r="E11" s="95">
        <v>15229</v>
      </c>
      <c r="F11" s="97">
        <f t="shared" ref="F11:F30" si="1">D11</f>
        <v>1.4036216369164749</v>
      </c>
      <c r="G11" s="97">
        <f t="shared" ref="G11:G29" si="2">F11*0.6</f>
        <v>0.8421729821498849</v>
      </c>
      <c r="H11" s="101">
        <f>[1]Datos!$K$18*'Porcentaje y Montos'!G11/100</f>
        <v>2354074.314520746</v>
      </c>
      <c r="I11" s="94">
        <v>1.1581699999999999</v>
      </c>
      <c r="J11" s="94">
        <f t="shared" ref="J11:J29" si="3">I11/$I$30*100</f>
        <v>5.4156456734898315</v>
      </c>
      <c r="K11" s="94">
        <f t="shared" ref="K11:K29" si="4">J11*0.3</f>
        <v>1.6246937020469494</v>
      </c>
      <c r="L11" s="8">
        <f>[1]Datos!$K$18*'Porcentaje y Montos'!K11/100</f>
        <v>4541406.3310234025</v>
      </c>
      <c r="M11" s="98">
        <f t="shared" ref="M11:M30" si="5">H11+L11</f>
        <v>6895480.645544149</v>
      </c>
      <c r="N11" s="94">
        <f t="shared" ref="N11:N29" si="6">K11+G11</f>
        <v>2.4668666841968343</v>
      </c>
      <c r="O11" s="94">
        <f t="shared" ref="O11:O29" si="7">1/N11</f>
        <v>0.40537253448115756</v>
      </c>
      <c r="P11" s="94">
        <f t="shared" ref="P11:P29" si="8">O11/$O$30*100</f>
        <v>6.3607594693659895</v>
      </c>
      <c r="Q11" s="94">
        <f t="shared" ref="Q11:Q29" si="9">P11*0.1</f>
        <v>0.63607594693659897</v>
      </c>
      <c r="R11" s="120">
        <f>Q11*[1]Datos!$K$18/100</f>
        <v>1777983.9540155372</v>
      </c>
      <c r="S11" s="406">
        <v>2.8230129310641754</v>
      </c>
      <c r="T11" s="407">
        <v>32011236.33205846</v>
      </c>
      <c r="U11" s="408">
        <v>1.0658132428332578</v>
      </c>
      <c r="V11" s="409">
        <v>0</v>
      </c>
      <c r="W11" s="410">
        <v>11053538.679474169</v>
      </c>
      <c r="X11" s="411">
        <v>5.78</v>
      </c>
      <c r="Y11" s="414">
        <v>1121332.9240800003</v>
      </c>
      <c r="Z11" s="415">
        <v>1.3507472164599297</v>
      </c>
      <c r="AA11" s="414">
        <v>747681.84793010459</v>
      </c>
      <c r="AB11" s="415">
        <f>'[2]FOFIR 2018'!I10</f>
        <v>5.702375241365195E-2</v>
      </c>
      <c r="AC11" s="414">
        <f>'[2]FOFIR 2018'!K10</f>
        <v>669048.88651236368</v>
      </c>
      <c r="AD11" s="415">
        <f>[2]FOCO2018!J11</f>
        <v>3.2649069896522058</v>
      </c>
      <c r="AE11" s="410">
        <f>[2]FOCO2018!L11</f>
        <v>1755351.9856819082</v>
      </c>
      <c r="AF11" s="416">
        <v>2.8230129310641754</v>
      </c>
      <c r="AG11" s="410">
        <v>62233.51718775808</v>
      </c>
      <c r="AH11" s="415">
        <v>2.8230129310641754</v>
      </c>
      <c r="AI11" s="410">
        <v>229446.23492429376</v>
      </c>
      <c r="AJ11" s="11"/>
      <c r="AK11" s="11"/>
      <c r="AL11" s="11"/>
    </row>
    <row r="12" spans="1:45" ht="27" customHeight="1" x14ac:dyDescent="0.25">
      <c r="A12" s="135" t="s">
        <v>5</v>
      </c>
      <c r="B12" s="133">
        <v>2.33</v>
      </c>
      <c r="C12" s="100">
        <f>[1]Datos!I$13*B12%</f>
        <v>22753102.77513</v>
      </c>
      <c r="D12" s="94">
        <f t="shared" si="0"/>
        <v>1.0311720319010782</v>
      </c>
      <c r="E12" s="8">
        <v>11188</v>
      </c>
      <c r="F12" s="97">
        <f t="shared" si="1"/>
        <v>1.0311720319010782</v>
      </c>
      <c r="G12" s="97">
        <f t="shared" si="2"/>
        <v>0.61870321914064685</v>
      </c>
      <c r="H12" s="101">
        <f>[1]Datos!$K$18*'Porcentaje y Montos'!G12/100</f>
        <v>1729423.0370252877</v>
      </c>
      <c r="I12" s="94">
        <v>1.096811</v>
      </c>
      <c r="J12" s="94">
        <f t="shared" si="3"/>
        <v>5.1287287244411921</v>
      </c>
      <c r="K12" s="94">
        <f t="shared" si="4"/>
        <v>1.5386186173323575</v>
      </c>
      <c r="L12" s="8">
        <f>[1]Datos!$K$18*'Porcentaje y Montos'!K12/100</f>
        <v>4300805.943286485</v>
      </c>
      <c r="M12" s="98">
        <f t="shared" si="5"/>
        <v>6030228.9803117728</v>
      </c>
      <c r="N12" s="94">
        <f t="shared" si="6"/>
        <v>2.1573218364730042</v>
      </c>
      <c r="O12" s="94">
        <f t="shared" si="7"/>
        <v>0.46353769896238362</v>
      </c>
      <c r="P12" s="94">
        <f t="shared" si="8"/>
        <v>7.2734375353201246</v>
      </c>
      <c r="Q12" s="94">
        <f t="shared" si="9"/>
        <v>0.72734375353201253</v>
      </c>
      <c r="R12" s="120">
        <f>Q12*[1]Datos!$K$18/100</f>
        <v>2033099.2376956686</v>
      </c>
      <c r="S12" s="406">
        <v>2.6356322280320024</v>
      </c>
      <c r="T12" s="407">
        <v>30120323.360690288</v>
      </c>
      <c r="U12" s="408">
        <v>0.85747231287247239</v>
      </c>
      <c r="V12" s="409">
        <v>0</v>
      </c>
      <c r="W12" s="410">
        <v>10375467.686446782</v>
      </c>
      <c r="X12" s="411">
        <v>6.12</v>
      </c>
      <c r="Y12" s="414">
        <v>1187293.6843200002</v>
      </c>
      <c r="Z12" s="415">
        <v>1.0034291520257399</v>
      </c>
      <c r="AA12" s="414">
        <v>548869.99411832693</v>
      </c>
      <c r="AB12" s="415">
        <f>'[2]FOFIR 2018'!I11</f>
        <v>3.8598362575395471E-2</v>
      </c>
      <c r="AC12" s="414">
        <f>'[2]FOFIR 2018'!K11</f>
        <v>488768.08135310013</v>
      </c>
      <c r="AD12" s="415">
        <f>[2]FOCO2018!J12</f>
        <v>3.8245953237238961</v>
      </c>
      <c r="AE12" s="410">
        <f>[2]FOCO2018!L12</f>
        <v>1608921.2135228908</v>
      </c>
      <c r="AF12" s="416">
        <v>2.6356322280320024</v>
      </c>
      <c r="AG12" s="410">
        <v>58102.704122166018</v>
      </c>
      <c r="AH12" s="415">
        <v>2.6356322280320024</v>
      </c>
      <c r="AI12" s="410">
        <v>214216.48399307867</v>
      </c>
      <c r="AJ12" s="11"/>
      <c r="AK12" s="11"/>
      <c r="AL12" s="11"/>
    </row>
    <row r="13" spans="1:45" ht="27" customHeight="1" x14ac:dyDescent="0.25">
      <c r="A13" s="135" t="s">
        <v>6</v>
      </c>
      <c r="B13" s="133">
        <v>2.81</v>
      </c>
      <c r="C13" s="100">
        <f>[1]Datos!I$13*B13%</f>
        <v>27440437.252410002</v>
      </c>
      <c r="D13" s="94">
        <f t="shared" si="0"/>
        <v>11.447687005923617</v>
      </c>
      <c r="E13" s="8">
        <v>124205</v>
      </c>
      <c r="F13" s="97">
        <f t="shared" si="1"/>
        <v>11.447687005923617</v>
      </c>
      <c r="G13" s="97">
        <f t="shared" si="2"/>
        <v>6.8686122035541706</v>
      </c>
      <c r="H13" s="101">
        <f>[1]Datos!$K$18*'Porcentaje y Montos'!G13/100</f>
        <v>19199409.037694484</v>
      </c>
      <c r="I13" s="94">
        <v>0.95977000000000001</v>
      </c>
      <c r="J13" s="94">
        <f t="shared" si="3"/>
        <v>4.4879199496147679</v>
      </c>
      <c r="K13" s="94">
        <f t="shared" si="4"/>
        <v>1.3463759848844303</v>
      </c>
      <c r="L13" s="8">
        <f>[1]Datos!$K$18*'Porcentaje y Montos'!K13/100</f>
        <v>3763441.9423110001</v>
      </c>
      <c r="M13" s="98">
        <f t="shared" si="5"/>
        <v>22962850.980005484</v>
      </c>
      <c r="N13" s="94">
        <f t="shared" si="6"/>
        <v>8.2149881884386016</v>
      </c>
      <c r="O13" s="94">
        <f t="shared" si="7"/>
        <v>0.12172872036594699</v>
      </c>
      <c r="P13" s="94">
        <f t="shared" si="8"/>
        <v>1.9100630775405734</v>
      </c>
      <c r="Q13" s="94">
        <f t="shared" si="9"/>
        <v>0.19100630775405736</v>
      </c>
      <c r="R13" s="120">
        <f>Q13*[1]Datos!$K$18/100</f>
        <v>533908.17863502365</v>
      </c>
      <c r="S13" s="406">
        <v>9.3033757876643541</v>
      </c>
      <c r="T13" s="407">
        <v>53445591.115456156</v>
      </c>
      <c r="U13" s="408">
        <v>26.514603307875809</v>
      </c>
      <c r="V13" s="409">
        <v>0</v>
      </c>
      <c r="W13" s="410">
        <v>21393000.764021847</v>
      </c>
      <c r="X13" s="411">
        <v>5.08</v>
      </c>
      <c r="Y13" s="414">
        <v>985531.35888000007</v>
      </c>
      <c r="Z13" s="415">
        <v>12.721730663392744</v>
      </c>
      <c r="AA13" s="414">
        <v>5015324.1568794716</v>
      </c>
      <c r="AB13" s="415">
        <f>'[2]FOFIR 2018'!I12</f>
        <v>27.722322924249848</v>
      </c>
      <c r="AC13" s="414">
        <f>'[2]FOFIR 2018'!K12</f>
        <v>9849988.7478727028</v>
      </c>
      <c r="AD13" s="415">
        <f>[2]FOCO2018!J13</f>
        <v>9.151475237852404</v>
      </c>
      <c r="AE13" s="410">
        <f>[2]FOCO2018!L13</f>
        <v>7251060.4084688853</v>
      </c>
      <c r="AF13" s="416">
        <v>9.3033757876643524</v>
      </c>
      <c r="AG13" s="410">
        <v>205093.417520149</v>
      </c>
      <c r="AH13" s="415">
        <v>9.3033757876643524</v>
      </c>
      <c r="AI13" s="410">
        <v>756151.12101933279</v>
      </c>
      <c r="AJ13" s="11"/>
      <c r="AK13" s="11"/>
      <c r="AL13" s="11"/>
    </row>
    <row r="14" spans="1:45" ht="27" customHeight="1" x14ac:dyDescent="0.25">
      <c r="A14" s="135" t="s">
        <v>7</v>
      </c>
      <c r="B14" s="133">
        <v>4.6399999999999997</v>
      </c>
      <c r="C14" s="100">
        <f>[1]Datos!I$13*B14%</f>
        <v>45310899.947039999</v>
      </c>
      <c r="D14" s="94">
        <f t="shared" si="0"/>
        <v>6.4885126808905982</v>
      </c>
      <c r="E14" s="8">
        <v>70399</v>
      </c>
      <c r="F14" s="97">
        <f t="shared" si="1"/>
        <v>6.4885126808905982</v>
      </c>
      <c r="G14" s="97">
        <f t="shared" si="2"/>
        <v>3.8931076085343586</v>
      </c>
      <c r="H14" s="101">
        <f>[1]Datos!$K$18*'Porcentaje y Montos'!G14/100</f>
        <v>10882164.138679232</v>
      </c>
      <c r="I14" s="94">
        <v>0.95178300000000005</v>
      </c>
      <c r="J14" s="94">
        <f t="shared" si="3"/>
        <v>4.4505724427771165</v>
      </c>
      <c r="K14" s="94">
        <f t="shared" si="4"/>
        <v>1.3351717328331349</v>
      </c>
      <c r="L14" s="8">
        <f>[1]Datos!$K$18*'Porcentaje y Montos'!K14/100</f>
        <v>3732123.3859972609</v>
      </c>
      <c r="M14" s="98">
        <f t="shared" si="5"/>
        <v>14614287.524676494</v>
      </c>
      <c r="N14" s="94">
        <f t="shared" si="6"/>
        <v>5.2282793413674931</v>
      </c>
      <c r="O14" s="94">
        <f t="shared" si="7"/>
        <v>0.19126751550701249</v>
      </c>
      <c r="P14" s="94">
        <f t="shared" si="8"/>
        <v>3.001206438419636</v>
      </c>
      <c r="Q14" s="94">
        <f t="shared" si="9"/>
        <v>0.30012064384196363</v>
      </c>
      <c r="R14" s="120">
        <f>Q14*[1]Datos!$K$18/100</f>
        <v>838908.76803271263</v>
      </c>
      <c r="S14" s="406">
        <v>4.8857882801295833</v>
      </c>
      <c r="T14" s="407">
        <v>58967843.283247903</v>
      </c>
      <c r="U14" s="408">
        <v>5.3718606742494019</v>
      </c>
      <c r="V14" s="409">
        <v>0</v>
      </c>
      <c r="W14" s="410">
        <v>21938897.274357833</v>
      </c>
      <c r="X14" s="411">
        <v>3.07</v>
      </c>
      <c r="Y14" s="414">
        <v>595586.86452000006</v>
      </c>
      <c r="Z14" s="415">
        <v>6.3943101477498834</v>
      </c>
      <c r="AA14" s="414">
        <v>3374819.5953962579</v>
      </c>
      <c r="AB14" s="415">
        <f>'[2]FOFIR 2018'!I13</f>
        <v>1.5035642247285637</v>
      </c>
      <c r="AC14" s="414">
        <f>'[2]FOFIR 2018'!K13</f>
        <v>3245840.5210356032</v>
      </c>
      <c r="AD14" s="415">
        <f>[2]FOCO2018!J14</f>
        <v>4.9659685330461043</v>
      </c>
      <c r="AE14" s="410">
        <f>[2]FOCO2018!L14</f>
        <v>5493774.9750104668</v>
      </c>
      <c r="AF14" s="416">
        <v>4.8857882801295842</v>
      </c>
      <c r="AG14" s="410">
        <v>107707.47496619471</v>
      </c>
      <c r="AH14" s="415">
        <v>4.8857882801295842</v>
      </c>
      <c r="AI14" s="410">
        <v>397102.56118825899</v>
      </c>
      <c r="AJ14" s="11"/>
      <c r="AK14" s="11"/>
      <c r="AL14" s="11"/>
    </row>
    <row r="15" spans="1:45" ht="27" customHeight="1" x14ac:dyDescent="0.25">
      <c r="A15" s="135" t="s">
        <v>8</v>
      </c>
      <c r="B15" s="133">
        <v>1.5</v>
      </c>
      <c r="C15" s="100">
        <f>[1]Datos!I$13*B15%</f>
        <v>14647920.2415</v>
      </c>
      <c r="D15" s="94">
        <f t="shared" si="0"/>
        <v>3.1613515100292262</v>
      </c>
      <c r="E15" s="8">
        <v>34300</v>
      </c>
      <c r="F15" s="97">
        <f t="shared" si="1"/>
        <v>3.1613515100292262</v>
      </c>
      <c r="G15" s="97">
        <f t="shared" si="2"/>
        <v>1.8968109060175355</v>
      </c>
      <c r="H15" s="101">
        <f>[1]Datos!$K$18*'Porcentaje y Montos'!G15/100</f>
        <v>5302038.8067543237</v>
      </c>
      <c r="I15" s="94">
        <v>1.071404</v>
      </c>
      <c r="J15" s="94">
        <f t="shared" si="3"/>
        <v>5.0099246545495904</v>
      </c>
      <c r="K15" s="94">
        <f t="shared" si="4"/>
        <v>1.5029773963648771</v>
      </c>
      <c r="L15" s="8">
        <f>[1]Datos!$K$18*'Porcentaje y Montos'!K15/100</f>
        <v>4201180.2314718887</v>
      </c>
      <c r="M15" s="98">
        <f t="shared" si="5"/>
        <v>9503219.0382262133</v>
      </c>
      <c r="N15" s="94">
        <f t="shared" si="6"/>
        <v>3.3997883023824125</v>
      </c>
      <c r="O15" s="94">
        <f t="shared" si="7"/>
        <v>0.29413596114182955</v>
      </c>
      <c r="P15" s="94">
        <f t="shared" si="8"/>
        <v>4.6153301986988051</v>
      </c>
      <c r="Q15" s="94">
        <f t="shared" si="9"/>
        <v>0.46153301986988055</v>
      </c>
      <c r="R15" s="120">
        <f>Q15*[1]Datos!$K$18/100</f>
        <v>1290094.8503540491</v>
      </c>
      <c r="S15" s="406">
        <v>8.5500307711581449</v>
      </c>
      <c r="T15" s="407">
        <v>38547295.136430547</v>
      </c>
      <c r="U15" s="408">
        <v>1.826877721916347</v>
      </c>
      <c r="V15" s="409">
        <v>0.35585661790713552</v>
      </c>
      <c r="W15" s="410">
        <v>7176931.3393675992</v>
      </c>
      <c r="X15" s="411">
        <v>9.51</v>
      </c>
      <c r="Y15" s="414">
        <v>1844961.2643600001</v>
      </c>
      <c r="Z15" s="415">
        <v>3.5996782524025233</v>
      </c>
      <c r="AA15" s="414">
        <v>1700684.4595938362</v>
      </c>
      <c r="AB15" s="415">
        <f>'[2]FOFIR 2018'!I14</f>
        <v>1.0523873762912932E-2</v>
      </c>
      <c r="AC15" s="414">
        <f>'[2]FOFIR 2018'!K14</f>
        <v>1421624.0497227884</v>
      </c>
      <c r="AD15" s="415">
        <f>[2]FOCO2018!J15</f>
        <v>3.3901029501068018</v>
      </c>
      <c r="AE15" s="410">
        <f>[2]FOCO2018!L15</f>
        <v>6025343.9070602786</v>
      </c>
      <c r="AF15" s="416">
        <v>8.5500307711581449</v>
      </c>
      <c r="AG15" s="410">
        <v>188485.96811213405</v>
      </c>
      <c r="AH15" s="415">
        <v>8.5500307711581449</v>
      </c>
      <c r="AI15" s="410">
        <v>694921.43286560883</v>
      </c>
      <c r="AJ15" s="11"/>
      <c r="AK15" s="11"/>
      <c r="AL15" s="11"/>
    </row>
    <row r="16" spans="1:45" ht="27" customHeight="1" x14ac:dyDescent="0.25">
      <c r="A16" s="135" t="s">
        <v>9</v>
      </c>
      <c r="B16" s="133">
        <v>1.53</v>
      </c>
      <c r="C16" s="100">
        <f>[1]Datos!I$13*B16%</f>
        <v>14940878.646330001</v>
      </c>
      <c r="D16" s="94">
        <f t="shared" si="0"/>
        <v>1.050711580592804</v>
      </c>
      <c r="E16" s="8">
        <v>11400</v>
      </c>
      <c r="F16" s="97">
        <f t="shared" si="1"/>
        <v>1.050711580592804</v>
      </c>
      <c r="G16" s="97">
        <f t="shared" si="2"/>
        <v>0.63042694835568236</v>
      </c>
      <c r="H16" s="101">
        <f>[1]Datos!$K$18*'Porcentaje y Montos'!G16/100</f>
        <v>1762193.6558891919</v>
      </c>
      <c r="I16" s="94">
        <v>1.737498</v>
      </c>
      <c r="J16" s="94">
        <f t="shared" si="3"/>
        <v>8.1246047872050173</v>
      </c>
      <c r="K16" s="94">
        <f t="shared" si="4"/>
        <v>2.4373814361615049</v>
      </c>
      <c r="L16" s="8">
        <f>[1]Datos!$K$18*'Porcentaje y Montos'!K16/100</f>
        <v>6813062.3460636167</v>
      </c>
      <c r="M16" s="98">
        <f t="shared" si="5"/>
        <v>8575256.0019528084</v>
      </c>
      <c r="N16" s="94">
        <f t="shared" si="6"/>
        <v>3.0678083845171873</v>
      </c>
      <c r="O16" s="94">
        <f t="shared" si="7"/>
        <v>0.32596559975742434</v>
      </c>
      <c r="P16" s="94">
        <f t="shared" si="8"/>
        <v>5.1147736932852705</v>
      </c>
      <c r="Q16" s="94">
        <f t="shared" si="9"/>
        <v>0.51147736932852705</v>
      </c>
      <c r="R16" s="120">
        <f>Q16*[1]Datos!$K$18/100</f>
        <v>1429701.2171077179</v>
      </c>
      <c r="S16" s="406">
        <v>2.4931317057725995</v>
      </c>
      <c r="T16" s="407">
        <v>21909776.290716287</v>
      </c>
      <c r="U16" s="408">
        <v>0.53989163219645608</v>
      </c>
      <c r="V16" s="409">
        <v>0.19699820593738157</v>
      </c>
      <c r="W16" s="410">
        <v>6834424.1941057136</v>
      </c>
      <c r="X16" s="411">
        <v>9.33</v>
      </c>
      <c r="Y16" s="414">
        <v>1810040.86188</v>
      </c>
      <c r="Z16" s="415">
        <v>1.0680326827822699</v>
      </c>
      <c r="AA16" s="414">
        <v>564702.24661915249</v>
      </c>
      <c r="AB16" s="415">
        <f>'[2]FOFIR 2018'!I15</f>
        <v>6.7848730118557992E-4</v>
      </c>
      <c r="AC16" s="414">
        <f>'[2]FOFIR 2018'!K15</f>
        <v>489428.64816450176</v>
      </c>
      <c r="AD16" s="415">
        <f>[2]FOCO2018!J16</f>
        <v>3.6809613879358531</v>
      </c>
      <c r="AE16" s="410">
        <f>[2]FOCO2018!L16</f>
        <v>2102206.9199694535</v>
      </c>
      <c r="AF16" s="416">
        <v>2.4931317057725995</v>
      </c>
      <c r="AG16" s="410">
        <v>54961.274622782737</v>
      </c>
      <c r="AH16" s="415">
        <v>2.4931317057725995</v>
      </c>
      <c r="AI16" s="410">
        <v>202634.46431508777</v>
      </c>
      <c r="AJ16" s="11"/>
      <c r="AK16" s="11"/>
      <c r="AL16" s="11"/>
    </row>
    <row r="17" spans="1:38" ht="27" customHeight="1" x14ac:dyDescent="0.25">
      <c r="A17" s="135" t="s">
        <v>10</v>
      </c>
      <c r="B17" s="133">
        <v>3.16</v>
      </c>
      <c r="C17" s="100">
        <f>[1]Datos!I$13*B17%</f>
        <v>30858285.308760002</v>
      </c>
      <c r="D17" s="94">
        <f t="shared" si="0"/>
        <v>2.5136892050445216</v>
      </c>
      <c r="E17" s="8">
        <v>27273</v>
      </c>
      <c r="F17" s="97">
        <f t="shared" si="1"/>
        <v>2.5136892050445216</v>
      </c>
      <c r="G17" s="97">
        <f t="shared" si="2"/>
        <v>1.5082135230267129</v>
      </c>
      <c r="H17" s="101">
        <f>[1]Datos!$K$18*'Porcentaje y Montos'!G17/100</f>
        <v>4215816.4541285904</v>
      </c>
      <c r="I17" s="94">
        <v>0.789829</v>
      </c>
      <c r="J17" s="94">
        <f t="shared" si="3"/>
        <v>3.6932695602949481</v>
      </c>
      <c r="K17" s="94">
        <f t="shared" si="4"/>
        <v>1.1079808680884844</v>
      </c>
      <c r="L17" s="8">
        <f>[1]Datos!$K$18*'Porcentaje y Montos'!K17/100</f>
        <v>3097070.7417960083</v>
      </c>
      <c r="M17" s="98">
        <f t="shared" si="5"/>
        <v>7312887.1959245987</v>
      </c>
      <c r="N17" s="94">
        <f t="shared" si="6"/>
        <v>2.6161943911151972</v>
      </c>
      <c r="O17" s="94">
        <f t="shared" si="7"/>
        <v>0.38223459365102186</v>
      </c>
      <c r="P17" s="94">
        <f t="shared" si="8"/>
        <v>5.9976986704263497</v>
      </c>
      <c r="Q17" s="94">
        <f t="shared" si="9"/>
        <v>0.59976986704263502</v>
      </c>
      <c r="R17" s="120">
        <f>Q17*[1]Datos!$K$18/100</f>
        <v>1676499.8029553366</v>
      </c>
      <c r="S17" s="406">
        <v>3.8115086375256677</v>
      </c>
      <c r="T17" s="407">
        <v>41512360.865017004</v>
      </c>
      <c r="U17" s="408">
        <v>2.5981246197146026</v>
      </c>
      <c r="V17" s="409">
        <v>0</v>
      </c>
      <c r="W17" s="410">
        <v>14571625.601212693</v>
      </c>
      <c r="X17" s="411">
        <v>4.5199999999999996</v>
      </c>
      <c r="Y17" s="414">
        <v>876890.10672000004</v>
      </c>
      <c r="Z17" s="415">
        <v>2.4906650861521529</v>
      </c>
      <c r="AA17" s="414">
        <v>1364110.46840011</v>
      </c>
      <c r="AB17" s="415">
        <f>'[2]FOFIR 2018'!I16</f>
        <v>0.36431260456941483</v>
      </c>
      <c r="AC17" s="414">
        <f>'[2]FOFIR 2018'!K16</f>
        <v>1272906.9805888569</v>
      </c>
      <c r="AD17" s="415">
        <f>[2]FOCO2018!J17</f>
        <v>3.0013229156570631</v>
      </c>
      <c r="AE17" s="410">
        <f>[2]FOCO2018!L17</f>
        <v>2502818.9906158159</v>
      </c>
      <c r="AF17" s="416">
        <v>3.8115086375256677</v>
      </c>
      <c r="AG17" s="410">
        <v>84024.951359368599</v>
      </c>
      <c r="AH17" s="415">
        <v>3.8115086375256677</v>
      </c>
      <c r="AI17" s="410">
        <v>309788.26011807041</v>
      </c>
      <c r="AJ17" s="11"/>
      <c r="AK17" s="11"/>
      <c r="AL17" s="11"/>
    </row>
    <row r="18" spans="1:38" ht="27" customHeight="1" x14ac:dyDescent="0.25">
      <c r="A18" s="135" t="s">
        <v>11</v>
      </c>
      <c r="B18" s="133">
        <v>2.81</v>
      </c>
      <c r="C18" s="100">
        <f>[1]Datos!I$13*B18%</f>
        <v>27440437.252410002</v>
      </c>
      <c r="D18" s="94">
        <f t="shared" si="0"/>
        <v>1.6311836450290742</v>
      </c>
      <c r="E18" s="8">
        <v>17698</v>
      </c>
      <c r="F18" s="97">
        <f t="shared" si="1"/>
        <v>1.6311836450290742</v>
      </c>
      <c r="G18" s="97">
        <f t="shared" si="2"/>
        <v>0.9787101870174445</v>
      </c>
      <c r="H18" s="101">
        <f>[1]Datos!$K$18*'Porcentaje y Montos'!G18/100</f>
        <v>2735728.3615725366</v>
      </c>
      <c r="I18" s="94">
        <v>1.0861320000000001</v>
      </c>
      <c r="J18" s="94">
        <f t="shared" si="3"/>
        <v>5.0787933262291878</v>
      </c>
      <c r="K18" s="94">
        <f t="shared" si="4"/>
        <v>1.5236379978687562</v>
      </c>
      <c r="L18" s="8">
        <f>[1]Datos!$K$18*'Porcentaje y Montos'!K18/100</f>
        <v>4258931.5395210637</v>
      </c>
      <c r="M18" s="98">
        <f t="shared" si="5"/>
        <v>6994659.9010936003</v>
      </c>
      <c r="N18" s="94">
        <f t="shared" si="6"/>
        <v>2.5023481848862006</v>
      </c>
      <c r="O18" s="94">
        <f t="shared" si="7"/>
        <v>0.3996246429812792</v>
      </c>
      <c r="P18" s="94">
        <f t="shared" si="8"/>
        <v>6.2705684668267221</v>
      </c>
      <c r="Q18" s="94">
        <f t="shared" si="9"/>
        <v>0.62705684668267225</v>
      </c>
      <c r="R18" s="120">
        <f>Q18*[1]Datos!$K$18/100</f>
        <v>1752773.4180593055</v>
      </c>
      <c r="S18" s="406">
        <v>3.1250074897416615</v>
      </c>
      <c r="T18" s="407">
        <v>36175578.393634044</v>
      </c>
      <c r="U18" s="408">
        <v>1.1819954364139058</v>
      </c>
      <c r="V18" s="409">
        <v>0</v>
      </c>
      <c r="W18" s="410">
        <v>12564438.902389582</v>
      </c>
      <c r="X18" s="411">
        <v>5.08</v>
      </c>
      <c r="Y18" s="414">
        <v>985531.35888000007</v>
      </c>
      <c r="Z18" s="415">
        <v>1.5731764108208799</v>
      </c>
      <c r="AA18" s="414">
        <v>853170.57829664275</v>
      </c>
      <c r="AB18" s="415">
        <f>'[2]FOFIR 2018'!I17</f>
        <v>6.725891333886172E-2</v>
      </c>
      <c r="AC18" s="414">
        <f>'[2]FOFIR 2018'!K17</f>
        <v>759409.18844571547</v>
      </c>
      <c r="AD18" s="415">
        <f>[2]FOCO2018!J18</f>
        <v>3.0926730012986177</v>
      </c>
      <c r="AE18" s="410">
        <f>[2]FOCO2018!L18</f>
        <v>2236508.2874780362</v>
      </c>
      <c r="AF18" s="416">
        <v>3.1250074897416615</v>
      </c>
      <c r="AG18" s="410">
        <v>68891.001552856455</v>
      </c>
      <c r="AH18" s="415">
        <v>3.1250074897416615</v>
      </c>
      <c r="AI18" s="410">
        <v>253991.46359139855</v>
      </c>
      <c r="AJ18" s="11"/>
      <c r="AK18" s="11"/>
      <c r="AL18" s="11"/>
    </row>
    <row r="19" spans="1:38" ht="27" customHeight="1" x14ac:dyDescent="0.25">
      <c r="A19" s="135" t="s">
        <v>12</v>
      </c>
      <c r="B19" s="133">
        <v>1.6</v>
      </c>
      <c r="C19" s="100">
        <f>[1]Datos!I$13*B19%</f>
        <v>15624448.2576</v>
      </c>
      <c r="D19" s="94">
        <f t="shared" si="0"/>
        <v>1.2534804821107137</v>
      </c>
      <c r="E19" s="8">
        <v>13600</v>
      </c>
      <c r="F19" s="97">
        <f t="shared" si="1"/>
        <v>1.2534804821107137</v>
      </c>
      <c r="G19" s="97">
        <f t="shared" si="2"/>
        <v>0.75208828926642823</v>
      </c>
      <c r="H19" s="101">
        <f>[1]Datos!$K$18*'Porcentaje y Montos'!G19/100</f>
        <v>2102266.1157976328</v>
      </c>
      <c r="I19" s="94">
        <v>0.84773799999999999</v>
      </c>
      <c r="J19" s="94">
        <f t="shared" si="3"/>
        <v>3.9640541819878972</v>
      </c>
      <c r="K19" s="94">
        <f t="shared" si="4"/>
        <v>1.1892162545963691</v>
      </c>
      <c r="L19" s="8">
        <f>[1]Datos!$K$18*'Porcentaje y Montos'!K19/100</f>
        <v>3324143.0189429163</v>
      </c>
      <c r="M19" s="98">
        <f t="shared" si="5"/>
        <v>5426409.1347405491</v>
      </c>
      <c r="N19" s="94">
        <f t="shared" si="6"/>
        <v>1.9413045438627974</v>
      </c>
      <c r="O19" s="94">
        <f t="shared" si="7"/>
        <v>0.51511752916943432</v>
      </c>
      <c r="P19" s="94">
        <f t="shared" si="8"/>
        <v>8.0827841622141037</v>
      </c>
      <c r="Q19" s="94">
        <f t="shared" si="9"/>
        <v>0.80827841622141039</v>
      </c>
      <c r="R19" s="120">
        <f>Q19*[1]Datos!$K$18/100</f>
        <v>2259330.9200575752</v>
      </c>
      <c r="S19" s="406">
        <v>2.741574480803131</v>
      </c>
      <c r="T19" s="407">
        <v>23287802.703237824</v>
      </c>
      <c r="U19" s="408">
        <v>0.66424449599873825</v>
      </c>
      <c r="V19" s="409">
        <v>0</v>
      </c>
      <c r="W19" s="410">
        <v>7151069.7920361506</v>
      </c>
      <c r="X19" s="411">
        <v>8.92</v>
      </c>
      <c r="Y19" s="414">
        <v>1730499.94512</v>
      </c>
      <c r="Z19" s="415">
        <v>1.212057067863342</v>
      </c>
      <c r="AA19" s="414">
        <v>644862.72558888281</v>
      </c>
      <c r="AB19" s="415">
        <f>'[2]FOFIR 2018'!I18</f>
        <v>7.6294452504163963E-3</v>
      </c>
      <c r="AC19" s="414">
        <f>'[2]FOFIR 2018'!K18</f>
        <v>561450.81430549722</v>
      </c>
      <c r="AD19" s="415">
        <f>[2]FOCO2018!J19</f>
        <v>3.4332203851565897</v>
      </c>
      <c r="AE19" s="410">
        <f>[2]FOCO2018!L19</f>
        <v>2298155.5004138891</v>
      </c>
      <c r="AF19" s="416">
        <v>2.7415744808031306</v>
      </c>
      <c r="AG19" s="410">
        <v>60438.20385706034</v>
      </c>
      <c r="AH19" s="415">
        <v>2.7415744808031306</v>
      </c>
      <c r="AI19" s="410">
        <v>222827.15768505909</v>
      </c>
      <c r="AJ19" s="11"/>
      <c r="AK19" s="11"/>
      <c r="AL19" s="11"/>
    </row>
    <row r="20" spans="1:38" ht="27" customHeight="1" x14ac:dyDescent="0.25">
      <c r="A20" s="135" t="s">
        <v>13</v>
      </c>
      <c r="B20" s="133">
        <v>2.84</v>
      </c>
      <c r="C20" s="100">
        <f>[1]Datos!I$13*B20%</f>
        <v>27733395.65724</v>
      </c>
      <c r="D20" s="94">
        <f t="shared" si="0"/>
        <v>3.1699231045024834</v>
      </c>
      <c r="E20" s="8">
        <v>34393</v>
      </c>
      <c r="F20" s="97">
        <f t="shared" si="1"/>
        <v>3.1699231045024834</v>
      </c>
      <c r="G20" s="97">
        <f t="shared" si="2"/>
        <v>1.90195386270149</v>
      </c>
      <c r="H20" s="101">
        <f>[1]Datos!$K$18*'Porcentaje y Montos'!G20/100</f>
        <v>5316414.5971049992</v>
      </c>
      <c r="I20" s="94">
        <v>1.369108</v>
      </c>
      <c r="J20" s="94">
        <f t="shared" si="3"/>
        <v>6.4019995482013146</v>
      </c>
      <c r="K20" s="94">
        <f t="shared" si="4"/>
        <v>1.9205998644603943</v>
      </c>
      <c r="L20" s="8">
        <f>[1]Datos!$K$18*'Porcentaje y Montos'!K20/100</f>
        <v>5368534.6184539311</v>
      </c>
      <c r="M20" s="98">
        <f t="shared" si="5"/>
        <v>10684949.215558931</v>
      </c>
      <c r="N20" s="94">
        <f t="shared" si="6"/>
        <v>3.8225537271618846</v>
      </c>
      <c r="O20" s="94">
        <f t="shared" si="7"/>
        <v>0.26160521770938344</v>
      </c>
      <c r="P20" s="94">
        <f t="shared" si="8"/>
        <v>4.1048855663354225</v>
      </c>
      <c r="Q20" s="94">
        <f t="shared" si="9"/>
        <v>0.41048855663354228</v>
      </c>
      <c r="R20" s="120">
        <f>Q20*[1]Datos!$K$18/100</f>
        <v>1147413.4032522747</v>
      </c>
      <c r="S20" s="406">
        <v>3.2934684597944548</v>
      </c>
      <c r="T20" s="407">
        <v>36939425.381922372</v>
      </c>
      <c r="U20" s="408">
        <v>1.6062411179827798</v>
      </c>
      <c r="V20" s="409">
        <v>16.427489407167268</v>
      </c>
      <c r="W20" s="410">
        <v>15295637.083434593</v>
      </c>
      <c r="X20" s="411">
        <v>5.0199999999999996</v>
      </c>
      <c r="Y20" s="414">
        <v>973891.22471999994</v>
      </c>
      <c r="Z20" s="415">
        <v>2.8704119215951907</v>
      </c>
      <c r="AA20" s="414">
        <v>1675812.0640963125</v>
      </c>
      <c r="AB20" s="415">
        <f>'[2]FOFIR 2018'!I19</f>
        <v>5.3083240857857296E-2</v>
      </c>
      <c r="AC20" s="414">
        <f>'[2]FOFIR 2018'!K19</f>
        <v>1505712.3849808299</v>
      </c>
      <c r="AD20" s="415">
        <f>[2]FOCO2018!J20</f>
        <v>3.1007349680773708</v>
      </c>
      <c r="AE20" s="410">
        <f>[2]FOCO2018!L20</f>
        <v>4324899.8382072411</v>
      </c>
      <c r="AF20" s="416">
        <v>3.2934684597944548</v>
      </c>
      <c r="AG20" s="410">
        <v>72604.720457543051</v>
      </c>
      <c r="AH20" s="415">
        <v>3.2934684597944548</v>
      </c>
      <c r="AI20" s="410">
        <v>267683.47785190766</v>
      </c>
      <c r="AJ20" s="11"/>
      <c r="AK20" s="11"/>
      <c r="AL20" s="11"/>
    </row>
    <row r="21" spans="1:38" ht="27" customHeight="1" x14ac:dyDescent="0.25">
      <c r="A21" s="135" t="s">
        <v>14</v>
      </c>
      <c r="B21" s="133">
        <v>3.33</v>
      </c>
      <c r="C21" s="100">
        <f>[1]Datos!I$13*B21%</f>
        <v>32518382.936130002</v>
      </c>
      <c r="D21" s="94">
        <f t="shared" si="0"/>
        <v>2.1630833407835541</v>
      </c>
      <c r="E21" s="8">
        <v>23469</v>
      </c>
      <c r="F21" s="97">
        <f t="shared" si="1"/>
        <v>2.1630833407835541</v>
      </c>
      <c r="G21" s="97">
        <f t="shared" si="2"/>
        <v>1.2978500044701324</v>
      </c>
      <c r="H21" s="101">
        <f>[1]Datos!$K$18*'Porcentaje y Montos'!G21/100</f>
        <v>3627800.2552687232</v>
      </c>
      <c r="I21" s="94">
        <v>0.71338900000000005</v>
      </c>
      <c r="J21" s="94">
        <f t="shared" si="3"/>
        <v>3.3358332985358259</v>
      </c>
      <c r="K21" s="94">
        <f t="shared" si="4"/>
        <v>1.0007499895607477</v>
      </c>
      <c r="L21" s="8">
        <f>[1]Datos!$K$18*'Porcentaje y Montos'!K21/100</f>
        <v>2797334.8654191126</v>
      </c>
      <c r="M21" s="98">
        <f t="shared" si="5"/>
        <v>6425135.1206878358</v>
      </c>
      <c r="N21" s="94">
        <f t="shared" si="6"/>
        <v>2.2985999940308801</v>
      </c>
      <c r="O21" s="94">
        <f t="shared" si="7"/>
        <v>0.4350474212985514</v>
      </c>
      <c r="P21" s="94">
        <f t="shared" si="8"/>
        <v>6.8263924397094096</v>
      </c>
      <c r="Q21" s="94">
        <f t="shared" si="9"/>
        <v>0.682639243970941</v>
      </c>
      <c r="R21" s="120">
        <f>Q21*[1]Datos!$K$18/100</f>
        <v>1908139.4729780732</v>
      </c>
      <c r="S21" s="406">
        <v>2.519475910660141</v>
      </c>
      <c r="T21" s="407">
        <v>39560918.91535908</v>
      </c>
      <c r="U21" s="408">
        <v>1.2255193209690372</v>
      </c>
      <c r="V21" s="409">
        <v>0</v>
      </c>
      <c r="W21" s="410">
        <v>14828469.659267103</v>
      </c>
      <c r="X21" s="411">
        <v>4.29</v>
      </c>
      <c r="Y21" s="414">
        <v>832269.59244000004</v>
      </c>
      <c r="Z21" s="415">
        <v>2.0950002116760511</v>
      </c>
      <c r="AA21" s="414">
        <v>1120395.3632410567</v>
      </c>
      <c r="AB21" s="415">
        <f>'[2]FOFIR 2018'!I20</f>
        <v>4.0325407673202952E-2</v>
      </c>
      <c r="AC21" s="414">
        <f>'[2]FOFIR 2018'!K20</f>
        <v>982830.19287120842</v>
      </c>
      <c r="AD21" s="415">
        <f>[2]FOCO2018!J21</f>
        <v>2.9619183256372441</v>
      </c>
      <c r="AE21" s="410">
        <f>[2]FOCO2018!L21</f>
        <v>2428258.5183188329</v>
      </c>
      <c r="AF21" s="416">
        <v>2.519475910660141</v>
      </c>
      <c r="AG21" s="410">
        <v>55542.022977045039</v>
      </c>
      <c r="AH21" s="415">
        <v>2.519475910660141</v>
      </c>
      <c r="AI21" s="410">
        <v>204775.64462876902</v>
      </c>
      <c r="AJ21" s="11"/>
      <c r="AK21" s="11"/>
      <c r="AL21" s="11"/>
    </row>
    <row r="22" spans="1:38" ht="27" customHeight="1" x14ac:dyDescent="0.25">
      <c r="A22" s="135" t="s">
        <v>15</v>
      </c>
      <c r="B22" s="133">
        <v>4.6900000000000004</v>
      </c>
      <c r="C22" s="100">
        <f>[1]Datos!I$13*B22%</f>
        <v>45799163.955090009</v>
      </c>
      <c r="D22" s="94">
        <f t="shared" si="0"/>
        <v>3.9742704697510276</v>
      </c>
      <c r="E22" s="8">
        <v>43120</v>
      </c>
      <c r="F22" s="97">
        <f t="shared" si="1"/>
        <v>3.9742704697510276</v>
      </c>
      <c r="G22" s="97">
        <f t="shared" si="2"/>
        <v>2.3845622818506165</v>
      </c>
      <c r="H22" s="101">
        <f>[1]Datos!$K$18*'Porcentaje y Montos'!G22/100</f>
        <v>6665420.2142054355</v>
      </c>
      <c r="I22" s="94">
        <v>0.39641700000000002</v>
      </c>
      <c r="J22" s="94">
        <f t="shared" si="3"/>
        <v>1.8536605256118004</v>
      </c>
      <c r="K22" s="94">
        <f t="shared" si="4"/>
        <v>0.5560981576835401</v>
      </c>
      <c r="L22" s="8">
        <f>[1]Datos!$K$18*'Porcentaje y Montos'!K22/100</f>
        <v>1554426.96108974</v>
      </c>
      <c r="M22" s="98">
        <f t="shared" si="5"/>
        <v>8219847.175295176</v>
      </c>
      <c r="N22" s="94">
        <f t="shared" si="6"/>
        <v>2.9406604395341565</v>
      </c>
      <c r="O22" s="94">
        <f t="shared" si="7"/>
        <v>0.3400596636578736</v>
      </c>
      <c r="P22" s="94">
        <f t="shared" si="8"/>
        <v>5.3359257023412736</v>
      </c>
      <c r="Q22" s="94">
        <f t="shared" si="9"/>
        <v>0.53359257023412743</v>
      </c>
      <c r="R22" s="120">
        <f>Q22*[1]Datos!$K$18/100</f>
        <v>1491518.4773568413</v>
      </c>
      <c r="S22" s="406">
        <v>3.7885789529333866</v>
      </c>
      <c r="T22" s="407">
        <v>56389145.574967988</v>
      </c>
      <c r="U22" s="408">
        <v>2.2379214981060622</v>
      </c>
      <c r="V22" s="409">
        <v>0</v>
      </c>
      <c r="W22" s="410">
        <v>21062937.931865279</v>
      </c>
      <c r="X22" s="411">
        <v>3.04</v>
      </c>
      <c r="Y22" s="414">
        <v>589766.79743999999</v>
      </c>
      <c r="Z22" s="415">
        <v>3.7237204182718768</v>
      </c>
      <c r="AA22" s="414">
        <v>1999930.2038123279</v>
      </c>
      <c r="AB22" s="415">
        <f>'[2]FOFIR 2018'!I21</f>
        <v>0.15141312047216696</v>
      </c>
      <c r="AC22" s="414">
        <f>'[2]FOFIR 2018'!K21</f>
        <v>1773705.3004013707</v>
      </c>
      <c r="AD22" s="415">
        <f>[2]FOCO2018!J22</f>
        <v>3.4479406570776314</v>
      </c>
      <c r="AE22" s="410">
        <f>[2]FOCO2018!L22</f>
        <v>3120157.8928237758</v>
      </c>
      <c r="AF22" s="416">
        <v>3.7885789529333866</v>
      </c>
      <c r="AG22" s="410">
        <v>83519.452714854051</v>
      </c>
      <c r="AH22" s="415">
        <v>3.7885789529333866</v>
      </c>
      <c r="AI22" s="410">
        <v>307924.60482253332</v>
      </c>
      <c r="AJ22" s="11"/>
      <c r="AK22" s="11"/>
      <c r="AL22" s="11"/>
    </row>
    <row r="23" spans="1:38" ht="27" customHeight="1" x14ac:dyDescent="0.25">
      <c r="A23" s="135" t="s">
        <v>16</v>
      </c>
      <c r="B23" s="133">
        <v>2.13</v>
      </c>
      <c r="C23" s="100">
        <f>[1]Datos!I$13*B23%</f>
        <v>20800046.742929999</v>
      </c>
      <c r="D23" s="94">
        <f t="shared" si="0"/>
        <v>0.69217929563613667</v>
      </c>
      <c r="E23" s="8">
        <v>7510</v>
      </c>
      <c r="F23" s="97">
        <f t="shared" si="1"/>
        <v>0.69217929563613667</v>
      </c>
      <c r="G23" s="97">
        <f t="shared" si="2"/>
        <v>0.415307577381682</v>
      </c>
      <c r="H23" s="101">
        <f>[1]Datos!$K$18*'Porcentaje y Montos'!G23/100</f>
        <v>1160883.7154147222</v>
      </c>
      <c r="I23" s="94">
        <v>0.79456599999999999</v>
      </c>
      <c r="J23" s="94">
        <f t="shared" si="3"/>
        <v>3.7154199471598481</v>
      </c>
      <c r="K23" s="94">
        <f t="shared" si="4"/>
        <v>1.1146259841479544</v>
      </c>
      <c r="L23" s="8">
        <f>[1]Datos!$K$18*'Porcentaje y Montos'!K23/100</f>
        <v>3115645.4258148116</v>
      </c>
      <c r="M23" s="98">
        <f t="shared" si="5"/>
        <v>4276529.1412295336</v>
      </c>
      <c r="N23" s="94">
        <f t="shared" si="6"/>
        <v>1.5299335615296363</v>
      </c>
      <c r="O23" s="94">
        <f t="shared" si="7"/>
        <v>0.65362315406702642</v>
      </c>
      <c r="P23" s="94">
        <f t="shared" si="8"/>
        <v>10.256096091833161</v>
      </c>
      <c r="Q23" s="94">
        <f t="shared" si="9"/>
        <v>1.0256096091833162</v>
      </c>
      <c r="R23" s="120">
        <f>Q23*[1]Datos!$K$18/100</f>
        <v>2866823.43043203</v>
      </c>
      <c r="S23" s="406">
        <v>2.4830733250565604</v>
      </c>
      <c r="T23" s="407">
        <v>27740828.814639322</v>
      </c>
      <c r="U23" s="408">
        <v>0.43209372875366542</v>
      </c>
      <c r="V23" s="409">
        <v>11.183956491362801</v>
      </c>
      <c r="W23" s="410">
        <v>11032705.470007615</v>
      </c>
      <c r="X23" s="411">
        <v>6.7</v>
      </c>
      <c r="Y23" s="414">
        <v>1299814.9812000003</v>
      </c>
      <c r="Z23" s="415">
        <v>0.63494348249439059</v>
      </c>
      <c r="AA23" s="414">
        <v>370741.98463786463</v>
      </c>
      <c r="AB23" s="415">
        <f>'[2]FOFIR 2018'!I22</f>
        <v>7.8692042502761898E-3</v>
      </c>
      <c r="AC23" s="414">
        <f>'[2]FOFIR 2018'!K22</f>
        <v>332288.84870842518</v>
      </c>
      <c r="AD23" s="415">
        <f>[2]FOCO2018!J23</f>
        <v>5.3786025853646846</v>
      </c>
      <c r="AE23" s="410">
        <f>[2]FOCO2018!L23</f>
        <v>1476125.9088761967</v>
      </c>
      <c r="AF23" s="416">
        <v>2.4830733250565604</v>
      </c>
      <c r="AG23" s="410">
        <v>54739.541769457996</v>
      </c>
      <c r="AH23" s="415">
        <v>2.4830733250565604</v>
      </c>
      <c r="AI23" s="410">
        <v>201816.94838804691</v>
      </c>
      <c r="AJ23" s="11"/>
      <c r="AK23" s="11"/>
      <c r="AL23" s="11"/>
    </row>
    <row r="24" spans="1:38" ht="27" customHeight="1" x14ac:dyDescent="0.25">
      <c r="A24" s="135" t="s">
        <v>17</v>
      </c>
      <c r="B24" s="133">
        <v>2.81</v>
      </c>
      <c r="C24" s="100">
        <f>[1]Datos!I$13*B24%</f>
        <v>27440437.252410002</v>
      </c>
      <c r="D24" s="94">
        <f t="shared" si="0"/>
        <v>2.0656621003724496</v>
      </c>
      <c r="E24" s="8">
        <v>22412</v>
      </c>
      <c r="F24" s="97">
        <f t="shared" si="1"/>
        <v>2.0656621003724496</v>
      </c>
      <c r="G24" s="97">
        <f t="shared" si="2"/>
        <v>1.2393972602234697</v>
      </c>
      <c r="H24" s="101">
        <f>[1]Datos!$K$18*'Porcentaje y Montos'!G24/100</f>
        <v>3464410.8961218046</v>
      </c>
      <c r="I24" s="94">
        <v>1.099386</v>
      </c>
      <c r="J24" s="94">
        <f t="shared" si="3"/>
        <v>5.1407695194965264</v>
      </c>
      <c r="K24" s="94">
        <f t="shared" si="4"/>
        <v>1.5422308558489579</v>
      </c>
      <c r="L24" s="8">
        <f>[1]Datos!$K$18*'Porcentaje y Montos'!K24/100</f>
        <v>4310903.0113355508</v>
      </c>
      <c r="M24" s="98">
        <f t="shared" si="5"/>
        <v>7775313.9074573554</v>
      </c>
      <c r="N24" s="94">
        <f t="shared" si="6"/>
        <v>2.7816281160724277</v>
      </c>
      <c r="O24" s="94">
        <f t="shared" si="7"/>
        <v>0.35950168687968576</v>
      </c>
      <c r="P24" s="94">
        <f t="shared" si="8"/>
        <v>5.6409933198848687</v>
      </c>
      <c r="Q24" s="94">
        <f t="shared" si="9"/>
        <v>0.56409933198848694</v>
      </c>
      <c r="R24" s="120">
        <f>Q24*[1]Datos!$K$18/100</f>
        <v>1576792.1512780979</v>
      </c>
      <c r="S24" s="406">
        <v>3.7130802812290442</v>
      </c>
      <c r="T24" s="407">
        <v>37819382.08102984</v>
      </c>
      <c r="U24" s="408">
        <v>1.3994946978613485</v>
      </c>
      <c r="V24" s="409">
        <v>0</v>
      </c>
      <c r="W24" s="410">
        <v>12640238.6658522</v>
      </c>
      <c r="X24" s="411">
        <v>5.08</v>
      </c>
      <c r="Y24" s="414">
        <v>985531.35888000007</v>
      </c>
      <c r="Z24" s="415">
        <v>1.9878074594640365</v>
      </c>
      <c r="AA24" s="414">
        <v>1134237.1431348375</v>
      </c>
      <c r="AB24" s="415">
        <f>'[2]FOFIR 2018'!I23</f>
        <v>8.7174688638086903E-2</v>
      </c>
      <c r="AC24" s="414">
        <f>'[2]FOFIR 2018'!K23</f>
        <v>1023761.6247928584</v>
      </c>
      <c r="AD24" s="415">
        <f>[2]FOCO2018!J24</f>
        <v>2.967524001068194</v>
      </c>
      <c r="AE24" s="410">
        <f>[2]FOCO2018!L24</f>
        <v>2193873.9279586049</v>
      </c>
      <c r="AF24" s="416">
        <v>3.7130802812290438</v>
      </c>
      <c r="AG24" s="410">
        <v>81855.097204853999</v>
      </c>
      <c r="AH24" s="415">
        <v>3.7130802812290438</v>
      </c>
      <c r="AI24" s="410">
        <v>301788.29167995998</v>
      </c>
      <c r="AJ24" s="11"/>
      <c r="AK24" s="11"/>
      <c r="AL24" s="11"/>
    </row>
    <row r="25" spans="1:38" ht="27" customHeight="1" x14ac:dyDescent="0.25">
      <c r="A25" s="135" t="s">
        <v>23</v>
      </c>
      <c r="B25" s="133">
        <v>8.34</v>
      </c>
      <c r="C25" s="100">
        <f>[1]Datos!I$13*B25%</f>
        <v>81442436.542740002</v>
      </c>
      <c r="D25" s="94">
        <f t="shared" si="0"/>
        <v>8.5784148817626882</v>
      </c>
      <c r="E25" s="8">
        <v>93074</v>
      </c>
      <c r="F25" s="97">
        <f t="shared" si="1"/>
        <v>8.5784148817626882</v>
      </c>
      <c r="G25" s="97">
        <f t="shared" si="2"/>
        <v>5.1470489290576129</v>
      </c>
      <c r="H25" s="101">
        <f>[1]Datos!$K$18*'Porcentaje y Montos'!G25/100</f>
        <v>14387229.15159918</v>
      </c>
      <c r="I25" s="94">
        <v>0.94212600000000002</v>
      </c>
      <c r="J25" s="94">
        <f t="shared" si="3"/>
        <v>4.4054159542919269</v>
      </c>
      <c r="K25" s="94">
        <f t="shared" si="4"/>
        <v>1.3216247862875781</v>
      </c>
      <c r="L25" s="8">
        <f>[1]Datos!$K$18*'Porcentaje y Montos'!K25/100</f>
        <v>3694256.4399196613</v>
      </c>
      <c r="M25" s="98">
        <f t="shared" si="5"/>
        <v>18081485.591518842</v>
      </c>
      <c r="N25" s="94">
        <f t="shared" si="6"/>
        <v>6.468673715345191</v>
      </c>
      <c r="O25" s="94">
        <f t="shared" si="7"/>
        <v>0.1545911950432387</v>
      </c>
      <c r="P25" s="94">
        <f t="shared" si="8"/>
        <v>2.4257129531739197</v>
      </c>
      <c r="Q25" s="94">
        <f t="shared" si="9"/>
        <v>0.24257129531739197</v>
      </c>
      <c r="R25" s="120">
        <f>Q25*[1]Datos!$K$18/100</f>
        <v>678044.61535797687</v>
      </c>
      <c r="S25" s="406">
        <v>6.6773150557872682</v>
      </c>
      <c r="T25" s="407">
        <v>100107124.43466422</v>
      </c>
      <c r="U25" s="408">
        <v>5.5728954918702778</v>
      </c>
      <c r="V25" s="409">
        <v>59.916367955168958</v>
      </c>
      <c r="W25" s="410">
        <v>46959567.778251305</v>
      </c>
      <c r="X25" s="411">
        <v>1.7</v>
      </c>
      <c r="Y25" s="414">
        <v>329803.80120000005</v>
      </c>
      <c r="Z25" s="415">
        <v>8.2824605224164927</v>
      </c>
      <c r="AA25" s="414">
        <v>4484965.1460429281</v>
      </c>
      <c r="AB25" s="415">
        <f>'[2]FOFIR 2018'!I24</f>
        <v>1.2821199734181128</v>
      </c>
      <c r="AC25" s="414">
        <f>'[2]FOFIR 2018'!K24</f>
        <v>4190004.3404057259</v>
      </c>
      <c r="AD25" s="415">
        <f>[2]FOCO2018!J25</f>
        <v>6.1759796951230719</v>
      </c>
      <c r="AE25" s="410">
        <f>[2]FOCO2018!L25</f>
        <v>7499739.2911581211</v>
      </c>
      <c r="AF25" s="416">
        <v>6.6773150557872691</v>
      </c>
      <c r="AG25" s="410">
        <v>147201.78020779311</v>
      </c>
      <c r="AH25" s="415">
        <v>6.6773150557872691</v>
      </c>
      <c r="AI25" s="410">
        <v>542712.60249697266</v>
      </c>
      <c r="AJ25" s="11"/>
      <c r="AK25" s="11"/>
      <c r="AL25" s="11"/>
    </row>
    <row r="26" spans="1:38" ht="27" customHeight="1" x14ac:dyDescent="0.25">
      <c r="A26" s="135" t="s">
        <v>18</v>
      </c>
      <c r="B26" s="133">
        <v>3.5</v>
      </c>
      <c r="C26" s="100">
        <f>[1]Datos!I$13*B26%</f>
        <v>34178480.563500002</v>
      </c>
      <c r="D26" s="94">
        <f t="shared" si="0"/>
        <v>3.6642183857936419</v>
      </c>
      <c r="E26" s="8">
        <v>39756</v>
      </c>
      <c r="F26" s="97">
        <f t="shared" si="1"/>
        <v>3.6642183857936419</v>
      </c>
      <c r="G26" s="97">
        <f t="shared" si="2"/>
        <v>2.1985310314761852</v>
      </c>
      <c r="H26" s="101">
        <f>[1]Datos!$K$18*'Porcentaje y Montos'!G26/100</f>
        <v>6145418.5073272558</v>
      </c>
      <c r="I26" s="94">
        <v>2.345564</v>
      </c>
      <c r="J26" s="94">
        <f t="shared" si="3"/>
        <v>10.967943849774647</v>
      </c>
      <c r="K26" s="94">
        <f t="shared" si="4"/>
        <v>3.2903831549323939</v>
      </c>
      <c r="L26" s="8">
        <f>[1]Datos!$K$18*'Porcentaje y Montos'!K26/100</f>
        <v>9197405.5617228691</v>
      </c>
      <c r="M26" s="98">
        <f t="shared" si="5"/>
        <v>15342824.069050126</v>
      </c>
      <c r="N26" s="94">
        <f t="shared" si="6"/>
        <v>5.4889141864085786</v>
      </c>
      <c r="O26" s="94">
        <f t="shared" si="7"/>
        <v>0.18218539515085852</v>
      </c>
      <c r="P26" s="94">
        <f t="shared" si="8"/>
        <v>2.8586975653622453</v>
      </c>
      <c r="Q26" s="94">
        <f t="shared" si="9"/>
        <v>0.28586975653622454</v>
      </c>
      <c r="R26" s="120">
        <f>Q26*[1]Datos!$K$18/100</f>
        <v>799074.13966464216</v>
      </c>
      <c r="S26" s="406">
        <v>3.6211212020127079</v>
      </c>
      <c r="T26" s="407">
        <v>44300377.836623117</v>
      </c>
      <c r="U26" s="408">
        <v>2.7670768052034433</v>
      </c>
      <c r="V26" s="409">
        <v>0</v>
      </c>
      <c r="W26" s="410">
        <v>16100916.474643175</v>
      </c>
      <c r="X26" s="411">
        <v>4.08</v>
      </c>
      <c r="Y26" s="414">
        <v>791529.12288000016</v>
      </c>
      <c r="Z26" s="415">
        <v>3.3629397569958934</v>
      </c>
      <c r="AA26" s="414">
        <v>1943270.267795267</v>
      </c>
      <c r="AB26" s="415">
        <f>'[2]FOFIR 2018'!I25</f>
        <v>0.39474760767184625</v>
      </c>
      <c r="AC26" s="414">
        <f>'[2]FOFIR 2018'!K25</f>
        <v>1812814.8174631856</v>
      </c>
      <c r="AD26" s="415">
        <f>[2]FOCO2018!J26</f>
        <v>3.2856538811834932</v>
      </c>
      <c r="AE26" s="410">
        <f>[2]FOCO2018!L26</f>
        <v>3974778.5699510449</v>
      </c>
      <c r="AF26" s="416">
        <v>3.6211212020127075</v>
      </c>
      <c r="AG26" s="410">
        <v>79827.839919817401</v>
      </c>
      <c r="AH26" s="415">
        <v>3.6211212020127075</v>
      </c>
      <c r="AI26" s="410">
        <v>294314.13030382933</v>
      </c>
      <c r="AJ26" s="11"/>
      <c r="AK26" s="11"/>
      <c r="AL26" s="11"/>
    </row>
    <row r="27" spans="1:38" ht="27" customHeight="1" x14ac:dyDescent="0.25">
      <c r="A27" s="135" t="s">
        <v>19</v>
      </c>
      <c r="B27" s="133">
        <v>39</v>
      </c>
      <c r="C27" s="100">
        <f>[1]Datos!I$13*B27%</f>
        <v>380845926.27900004</v>
      </c>
      <c r="D27" s="94">
        <f t="shared" si="0"/>
        <v>35.046669106037996</v>
      </c>
      <c r="E27" s="8">
        <v>380249</v>
      </c>
      <c r="F27" s="97">
        <f t="shared" si="1"/>
        <v>35.046669106037996</v>
      </c>
      <c r="G27" s="97">
        <f t="shared" si="2"/>
        <v>21.028001463622797</v>
      </c>
      <c r="H27" s="101">
        <f>[1]Datos!$K$18*'Porcentaje y Montos'!G27/100</f>
        <v>58778278.548965737</v>
      </c>
      <c r="I27" s="94">
        <v>0.84406499999999995</v>
      </c>
      <c r="J27" s="94">
        <f t="shared" si="3"/>
        <v>3.9468790984002302</v>
      </c>
      <c r="K27" s="94">
        <f t="shared" si="4"/>
        <v>1.1840637295200691</v>
      </c>
      <c r="L27" s="8">
        <f>[1]Datos!$K$18*'Porcentaje y Montos'!K27/100</f>
        <v>3309740.482653901</v>
      </c>
      <c r="M27" s="98">
        <f t="shared" si="5"/>
        <v>62088019.031619638</v>
      </c>
      <c r="N27" s="94">
        <f t="shared" si="6"/>
        <v>22.212065193142866</v>
      </c>
      <c r="O27" s="94">
        <f t="shared" si="7"/>
        <v>4.5020577389116981E-2</v>
      </c>
      <c r="P27" s="94">
        <f t="shared" si="8"/>
        <v>0.7064244357617202</v>
      </c>
      <c r="Q27" s="94">
        <f t="shared" si="9"/>
        <v>7.0642443576172026E-2</v>
      </c>
      <c r="R27" s="120">
        <f>Q27*[1]Datos!$K$18/100</f>
        <v>197462.47559869001</v>
      </c>
      <c r="S27" s="406">
        <v>22.043514122855225</v>
      </c>
      <c r="T27" s="407">
        <v>442462804.87552482</v>
      </c>
      <c r="U27" s="408">
        <v>35.053296387872351</v>
      </c>
      <c r="V27" s="409">
        <v>0</v>
      </c>
      <c r="W27" s="410">
        <v>180880960.76758429</v>
      </c>
      <c r="X27" s="411">
        <v>0.37</v>
      </c>
      <c r="Y27" s="414">
        <v>71780.827320000011</v>
      </c>
      <c r="Z27" s="415">
        <v>35.020363236103471</v>
      </c>
      <c r="AA27" s="414">
        <v>18136780.451653276</v>
      </c>
      <c r="AB27" s="415">
        <f>'[2]FOFIR 2018'!I26</f>
        <v>66.428609906759945</v>
      </c>
      <c r="AC27" s="414">
        <f>'[2]FOFIR 2018'!K26</f>
        <v>29899612.298806161</v>
      </c>
      <c r="AD27" s="415">
        <f>[2]FOCO2018!J27</f>
        <v>24.603713685701898</v>
      </c>
      <c r="AE27" s="410">
        <f>[2]FOCO2018!L27</f>
        <v>25930259.17130297</v>
      </c>
      <c r="AF27" s="416">
        <v>22.043514122855225</v>
      </c>
      <c r="AG27" s="410">
        <v>485950.39039661962</v>
      </c>
      <c r="AH27" s="415">
        <v>22.043514122855225</v>
      </c>
      <c r="AI27" s="410">
        <v>1791632.2286598301</v>
      </c>
      <c r="AJ27" s="11"/>
      <c r="AK27" s="11"/>
      <c r="AL27" s="11"/>
    </row>
    <row r="28" spans="1:38" ht="27" customHeight="1" x14ac:dyDescent="0.25">
      <c r="A28" s="135" t="s">
        <v>20</v>
      </c>
      <c r="B28" s="133">
        <v>3.79</v>
      </c>
      <c r="C28" s="100">
        <f>[1]Datos!I$13*B28%</f>
        <v>37010411.810190007</v>
      </c>
      <c r="D28" s="94">
        <f t="shared" si="0"/>
        <v>2.7677955057194654</v>
      </c>
      <c r="E28" s="8">
        <v>30030</v>
      </c>
      <c r="F28" s="97">
        <f t="shared" si="1"/>
        <v>2.7677955057194654</v>
      </c>
      <c r="G28" s="97">
        <f t="shared" si="2"/>
        <v>1.6606773034316793</v>
      </c>
      <c r="H28" s="101">
        <f>[1]Datos!$K$18*'Porcentaje y Montos'!G28/100</f>
        <v>4641989.0777502144</v>
      </c>
      <c r="I28" s="94">
        <v>0.97075900000000004</v>
      </c>
      <c r="J28" s="94">
        <f t="shared" si="3"/>
        <v>4.5393049192703279</v>
      </c>
      <c r="K28" s="94">
        <f t="shared" si="4"/>
        <v>1.3617914757810983</v>
      </c>
      <c r="L28" s="8">
        <f>[1]Datos!$K$18*'Porcentaje y Montos'!K28/100</f>
        <v>3806531.9154337854</v>
      </c>
      <c r="M28" s="98">
        <f t="shared" si="5"/>
        <v>8448520.9931840003</v>
      </c>
      <c r="N28" s="94">
        <f t="shared" si="6"/>
        <v>3.0224687792127778</v>
      </c>
      <c r="O28" s="94">
        <f t="shared" si="7"/>
        <v>0.33085536131177395</v>
      </c>
      <c r="P28" s="94">
        <f t="shared" si="8"/>
        <v>5.1914996538873615</v>
      </c>
      <c r="Q28" s="94">
        <f t="shared" si="9"/>
        <v>0.51914996538873615</v>
      </c>
      <c r="R28" s="120">
        <f>Q28*[1]Datos!$K$18/100</f>
        <v>1451147.9527473762</v>
      </c>
      <c r="S28" s="406">
        <v>3.3956127538863461</v>
      </c>
      <c r="T28" s="407">
        <v>46501959.194769301</v>
      </c>
      <c r="U28" s="408">
        <v>1.450617000621806</v>
      </c>
      <c r="V28" s="409">
        <v>11.919331322456461</v>
      </c>
      <c r="W28" s="410">
        <v>18676562.937069975</v>
      </c>
      <c r="X28" s="411">
        <v>3.77</v>
      </c>
      <c r="Y28" s="414">
        <v>731388.42972000001</v>
      </c>
      <c r="Z28" s="415">
        <v>2.5879513991786967</v>
      </c>
      <c r="AA28" s="414">
        <v>1488976.8190533847</v>
      </c>
      <c r="AB28" s="415">
        <f>'[2]FOFIR 2018'!I27</f>
        <v>4.3831891390971649E-2</v>
      </c>
      <c r="AC28" s="414">
        <f>'[2]FOFIR 2018'!K27</f>
        <v>1331812.5715587302</v>
      </c>
      <c r="AD28" s="415">
        <f>[2]FOCO2018!J28</f>
        <v>3.0221379396734749</v>
      </c>
      <c r="AE28" s="410">
        <f>[2]FOCO2018!L28</f>
        <v>2551660.105080334</v>
      </c>
      <c r="AF28" s="416">
        <v>3.3956127538863461</v>
      </c>
      <c r="AG28" s="410">
        <v>74856.500306332629</v>
      </c>
      <c r="AH28" s="415">
        <v>3.3956127538863461</v>
      </c>
      <c r="AI28" s="410">
        <v>275985.46522356005</v>
      </c>
      <c r="AJ28" s="11"/>
      <c r="AK28" s="11"/>
      <c r="AL28" s="11"/>
    </row>
    <row r="29" spans="1:38" ht="27" customHeight="1" thickBot="1" x14ac:dyDescent="0.3">
      <c r="A29" s="136" t="s">
        <v>21</v>
      </c>
      <c r="B29" s="137">
        <v>3.1</v>
      </c>
      <c r="C29" s="138">
        <f>[1]Datos!I$13*B29%</f>
        <v>30272368.4991</v>
      </c>
      <c r="D29" s="139">
        <f t="shared" si="0"/>
        <v>4.5256175465147246</v>
      </c>
      <c r="E29" s="140">
        <v>49102</v>
      </c>
      <c r="F29" s="141">
        <f t="shared" si="1"/>
        <v>4.5256175465147246</v>
      </c>
      <c r="G29" s="141">
        <f t="shared" si="2"/>
        <v>2.7153705279088345</v>
      </c>
      <c r="H29" s="142">
        <f>[1]Datos!$K$18*'Porcentaje y Montos'!G29/100</f>
        <v>7590108.1483746581</v>
      </c>
      <c r="I29" s="139">
        <v>1.0003390000000001</v>
      </c>
      <c r="J29" s="139">
        <f t="shared" si="3"/>
        <v>4.6776220912069428</v>
      </c>
      <c r="K29" s="139">
        <f t="shared" si="4"/>
        <v>1.4032866273620828</v>
      </c>
      <c r="L29" s="140">
        <f>[1]Datos!$K$18*'Porcentaje y Montos'!K29/100</f>
        <v>3922520.7592750802</v>
      </c>
      <c r="M29" s="143">
        <f t="shared" si="5"/>
        <v>11512628.907649739</v>
      </c>
      <c r="N29" s="139">
        <f t="shared" si="6"/>
        <v>4.1186571552709168</v>
      </c>
      <c r="O29" s="139">
        <f t="shared" si="7"/>
        <v>0.24279758239168661</v>
      </c>
      <c r="P29" s="139">
        <f t="shared" si="8"/>
        <v>3.80977222177561</v>
      </c>
      <c r="Q29" s="139">
        <f t="shared" si="9"/>
        <v>0.38097722217756103</v>
      </c>
      <c r="R29" s="113">
        <f>Q29*[1]Datos!$K$18/100</f>
        <v>1064922.1860053025</v>
      </c>
      <c r="S29" s="406">
        <v>4.5404880205890308</v>
      </c>
      <c r="T29" s="407">
        <v>42964115.267613746</v>
      </c>
      <c r="U29" s="408">
        <v>5.1532229341612972</v>
      </c>
      <c r="V29" s="409">
        <v>0</v>
      </c>
      <c r="W29" s="410">
        <v>15202608.166836817</v>
      </c>
      <c r="X29" s="411">
        <v>4.5999999999999996</v>
      </c>
      <c r="Y29" s="418">
        <v>892410.28560000006</v>
      </c>
      <c r="Z29" s="419">
        <v>4.8616061978747727</v>
      </c>
      <c r="AA29" s="418">
        <v>2363429.2491381397</v>
      </c>
      <c r="AB29" s="415">
        <f>'[2]FOFIR 2018'!I28</f>
        <v>1.4310759750004596</v>
      </c>
      <c r="AC29" s="414">
        <f>'[2]FOFIR 2018'!K28</f>
        <v>2300172.6665395065</v>
      </c>
      <c r="AD29" s="415">
        <f>[2]FOCO2018!J29</f>
        <v>4.0475412803248725</v>
      </c>
      <c r="AE29" s="410">
        <f>[2]FOCO2018!L29</f>
        <v>3594812.0039684218</v>
      </c>
      <c r="AF29" s="416">
        <v>4.5404880205890317</v>
      </c>
      <c r="AG29" s="420">
        <v>100095.3239911892</v>
      </c>
      <c r="AH29" s="415">
        <v>4.5404880205890317</v>
      </c>
      <c r="AI29" s="410">
        <v>369037.56730751123</v>
      </c>
      <c r="AJ29" s="11"/>
      <c r="AK29" s="11"/>
      <c r="AL29" s="11"/>
    </row>
    <row r="30" spans="1:38" ht="16.5" thickBot="1" x14ac:dyDescent="0.3">
      <c r="A30" s="88" t="s">
        <v>22</v>
      </c>
      <c r="B30" s="144">
        <f>SUM(B10:B29)</f>
        <v>100</v>
      </c>
      <c r="C30" s="145">
        <f>SUM(C10:C29)</f>
        <v>976528016.0999999</v>
      </c>
      <c r="D30" s="54">
        <f>SUM(D10:D29)</f>
        <v>99.999999999999986</v>
      </c>
      <c r="E30" s="55">
        <f>SUM(E10:E29)</f>
        <v>1084979</v>
      </c>
      <c r="F30" s="53">
        <f t="shared" si="1"/>
        <v>99.999999999999986</v>
      </c>
      <c r="G30" s="53">
        <f t="shared" ref="G30:L30" si="10">SUM(G10:G29)</f>
        <v>59.999999999999993</v>
      </c>
      <c r="H30" s="146">
        <f t="shared" si="10"/>
        <v>167714307.94499996</v>
      </c>
      <c r="I30" s="147">
        <f t="shared" si="10"/>
        <v>21.385630999999997</v>
      </c>
      <c r="J30" s="148">
        <f t="shared" si="10"/>
        <v>100.00000000000001</v>
      </c>
      <c r="K30" s="148">
        <f t="shared" si="10"/>
        <v>29.999999999999996</v>
      </c>
      <c r="L30" s="149">
        <f t="shared" si="10"/>
        <v>83857153.972500011</v>
      </c>
      <c r="M30" s="150">
        <f t="shared" si="5"/>
        <v>251571461.91749996</v>
      </c>
      <c r="N30" s="148">
        <f t="shared" ref="N30:T30" si="11">SUM(N10:N29)</f>
        <v>90</v>
      </c>
      <c r="O30" s="148">
        <f t="shared" si="11"/>
        <v>6.3730209644535289</v>
      </c>
      <c r="P30" s="148">
        <f t="shared" si="11"/>
        <v>100</v>
      </c>
      <c r="Q30" s="147">
        <f t="shared" si="11"/>
        <v>10.000000000000002</v>
      </c>
      <c r="R30" s="151">
        <f t="shared" si="11"/>
        <v>27952384.657499999</v>
      </c>
      <c r="S30" s="421">
        <f>SUM(S10:S29)</f>
        <v>100</v>
      </c>
      <c r="T30" s="422">
        <f t="shared" si="11"/>
        <v>1256051862.6775</v>
      </c>
      <c r="U30" s="423">
        <v>100</v>
      </c>
      <c r="V30" s="424">
        <v>100</v>
      </c>
      <c r="W30" s="425">
        <f>SUM(W10:W29)</f>
        <v>482260093</v>
      </c>
      <c r="X30" s="426">
        <f>SUM(X10:X29)</f>
        <v>100</v>
      </c>
      <c r="Y30" s="428">
        <f t="shared" ref="Y30:AA30" si="12">SUM(Y10:Y29)</f>
        <v>19400223.599999998</v>
      </c>
      <c r="Z30" s="421">
        <f t="shared" si="12"/>
        <v>100.00000000000001</v>
      </c>
      <c r="AA30" s="432">
        <f t="shared" si="12"/>
        <v>51345637.199999996</v>
      </c>
      <c r="AB30" s="431">
        <v>100</v>
      </c>
      <c r="AC30" s="428">
        <f t="shared" ref="AC30:AE30" si="13">SUM(AC10:AC29)</f>
        <v>65586289.275000006</v>
      </c>
      <c r="AD30" s="421">
        <v>99.999999999999986</v>
      </c>
      <c r="AE30" s="425">
        <f t="shared" si="13"/>
        <v>91768747.049999997</v>
      </c>
      <c r="AF30" s="427">
        <f>SUM(AF10:AF29)</f>
        <v>100</v>
      </c>
      <c r="AG30" s="425">
        <f>SUM(AG10:AG29)</f>
        <v>2204506.0000000005</v>
      </c>
      <c r="AH30" s="429">
        <f>SUM(AH10:AH29)</f>
        <v>100</v>
      </c>
      <c r="AI30" s="430">
        <f>SUM(AI10:AI29)</f>
        <v>8127707.169999999</v>
      </c>
    </row>
    <row r="31" spans="1:38" x14ac:dyDescent="0.25">
      <c r="A31" s="486" t="s">
        <v>265</v>
      </c>
      <c r="B31" s="10"/>
      <c r="C31" s="1"/>
      <c r="D31" s="1"/>
      <c r="E31" s="1"/>
      <c r="F31" s="1"/>
      <c r="G31" s="1"/>
      <c r="H31" s="2"/>
    </row>
    <row r="32" spans="1:38" x14ac:dyDescent="0.25">
      <c r="A32" s="1"/>
      <c r="B32" s="1"/>
      <c r="C32" s="1"/>
      <c r="D32" s="1"/>
      <c r="E32" s="1"/>
      <c r="F32" s="1"/>
      <c r="G32" s="1"/>
      <c r="H32" s="2"/>
      <c r="T32" s="91"/>
      <c r="U32" s="91"/>
      <c r="V32" s="91"/>
      <c r="AI32" s="405"/>
    </row>
  </sheetData>
  <mergeCells count="32">
    <mergeCell ref="A1:AI1"/>
    <mergeCell ref="A3:AI3"/>
    <mergeCell ref="A4:T4"/>
    <mergeCell ref="A5:A9"/>
    <mergeCell ref="S5:T5"/>
    <mergeCell ref="U5:W5"/>
    <mergeCell ref="AB5:AC5"/>
    <mergeCell ref="AD5:AE5"/>
    <mergeCell ref="AF5:AG5"/>
    <mergeCell ref="AH5:AI5"/>
    <mergeCell ref="B6:B8"/>
    <mergeCell ref="E6:H6"/>
    <mergeCell ref="I6:L6"/>
    <mergeCell ref="M6:M9"/>
    <mergeCell ref="N6:R6"/>
    <mergeCell ref="T6:T9"/>
    <mergeCell ref="V6:V9"/>
    <mergeCell ref="W6:W8"/>
    <mergeCell ref="AC6:AC8"/>
    <mergeCell ref="AG6:AG8"/>
    <mergeCell ref="AI6:AI8"/>
    <mergeCell ref="D7:E7"/>
    <mergeCell ref="I7:I8"/>
    <mergeCell ref="J7:J8"/>
    <mergeCell ref="L7:L8"/>
    <mergeCell ref="N7:N9"/>
    <mergeCell ref="D8:E8"/>
    <mergeCell ref="X5:Y5"/>
    <mergeCell ref="Y6:Y8"/>
    <mergeCell ref="Z5:AA5"/>
    <mergeCell ref="AA6:AA8"/>
    <mergeCell ref="AE6:AE8"/>
  </mergeCells>
  <pageMargins left="0.9055118110236221" right="0.15748031496062992" top="0.74803149606299213" bottom="0.74803149606299213" header="0.31496062992125984" footer="0.31496062992125984"/>
  <pageSetup paperSize="5" scale="5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showGridLines="0" workbookViewId="0"/>
  </sheetViews>
  <sheetFormatPr baseColWidth="10" defaultColWidth="9.140625" defaultRowHeight="15" x14ac:dyDescent="0.25"/>
  <cols>
    <col min="1" max="1" width="9.140625" customWidth="1"/>
    <col min="2" max="2" width="48.42578125" customWidth="1"/>
    <col min="3" max="3" width="20.42578125" customWidth="1"/>
    <col min="4" max="4" width="9.140625" customWidth="1"/>
    <col min="7" max="7" width="10.85546875" customWidth="1"/>
    <col min="8" max="8" width="12.7109375" bestFit="1" customWidth="1"/>
  </cols>
  <sheetData>
    <row r="1" spans="2:8" ht="48" x14ac:dyDescent="0.85">
      <c r="B1" s="173" t="s">
        <v>148</v>
      </c>
      <c r="H1" s="172" t="s">
        <v>147</v>
      </c>
    </row>
    <row r="2" spans="2:8" ht="17.25" x14ac:dyDescent="0.25">
      <c r="B2" s="171" t="s">
        <v>146</v>
      </c>
    </row>
    <row r="3" spans="2:8" ht="18" customHeight="1" x14ac:dyDescent="0.4">
      <c r="E3" s="170"/>
    </row>
    <row r="4" spans="2:8" ht="16.5" x14ac:dyDescent="0.3">
      <c r="B4" s="169" t="s">
        <v>145</v>
      </c>
      <c r="C4" s="169" t="s">
        <v>144</v>
      </c>
    </row>
    <row r="5" spans="2:8" s="166" customFormat="1" ht="16.5" customHeight="1" x14ac:dyDescent="0.25">
      <c r="B5" s="168" t="s">
        <v>143</v>
      </c>
      <c r="C5" s="168"/>
    </row>
    <row r="6" spans="2:8" s="166" customFormat="1" ht="16.5" customHeight="1" x14ac:dyDescent="0.25">
      <c r="B6" s="168" t="s">
        <v>142</v>
      </c>
      <c r="C6" s="167"/>
    </row>
    <row r="7" spans="2:8" s="166" customFormat="1" ht="16.5" customHeight="1" x14ac:dyDescent="0.25">
      <c r="B7" s="168" t="s">
        <v>141</v>
      </c>
      <c r="C7" s="167"/>
    </row>
    <row r="8" spans="2:8" s="166" customFormat="1" ht="16.5" customHeight="1" x14ac:dyDescent="0.25">
      <c r="B8" s="168" t="s">
        <v>140</v>
      </c>
      <c r="C8" s="167"/>
    </row>
    <row r="9" spans="2:8" s="166" customFormat="1" ht="16.5" customHeight="1" x14ac:dyDescent="0.25">
      <c r="B9" s="168" t="s">
        <v>139</v>
      </c>
      <c r="C9" s="167"/>
    </row>
    <row r="10" spans="2:8" s="166" customFormat="1" ht="16.5" customHeight="1" x14ac:dyDescent="0.25">
      <c r="B10" s="168" t="s">
        <v>138</v>
      </c>
      <c r="C10" s="167"/>
    </row>
    <row r="11" spans="2:8" s="166" customFormat="1" ht="16.5" customHeight="1" x14ac:dyDescent="0.25">
      <c r="B11" s="168" t="s">
        <v>137</v>
      </c>
      <c r="C11" s="167"/>
    </row>
    <row r="12" spans="2:8" s="166" customFormat="1" ht="16.5" customHeight="1" x14ac:dyDescent="0.25">
      <c r="B12" s="168" t="s">
        <v>136</v>
      </c>
      <c r="C12" s="167"/>
    </row>
    <row r="13" spans="2:8" s="166" customFormat="1" ht="16.5" customHeight="1" x14ac:dyDescent="0.25">
      <c r="B13" s="168" t="s">
        <v>135</v>
      </c>
      <c r="C13" s="167"/>
    </row>
    <row r="14" spans="2:8" s="166" customFormat="1" ht="16.5" customHeight="1" x14ac:dyDescent="0.25">
      <c r="B14" s="168" t="s">
        <v>134</v>
      </c>
      <c r="C14" s="167"/>
    </row>
    <row r="15" spans="2:8" s="166" customFormat="1" ht="16.5" customHeight="1" x14ac:dyDescent="0.25">
      <c r="B15" s="168" t="s">
        <v>133</v>
      </c>
      <c r="C15" s="167"/>
    </row>
    <row r="16" spans="2:8" s="166" customFormat="1" ht="16.5" customHeight="1" x14ac:dyDescent="0.25">
      <c r="B16" s="168" t="s">
        <v>132</v>
      </c>
      <c r="C16" s="167"/>
    </row>
    <row r="17" spans="2:3" s="166" customFormat="1" ht="16.5" customHeight="1" x14ac:dyDescent="0.25">
      <c r="B17" s="168" t="s">
        <v>131</v>
      </c>
      <c r="C17" s="167"/>
    </row>
    <row r="18" spans="2:3" s="166" customFormat="1" ht="16.5" customHeight="1" x14ac:dyDescent="0.25">
      <c r="B18" s="168" t="s">
        <v>130</v>
      </c>
      <c r="C18" s="167"/>
    </row>
    <row r="19" spans="2:3" s="166" customFormat="1" ht="16.5" customHeight="1" x14ac:dyDescent="0.25">
      <c r="B19" s="168" t="s">
        <v>129</v>
      </c>
      <c r="C19" s="167"/>
    </row>
    <row r="20" spans="2:3" s="166" customFormat="1" ht="16.5" customHeight="1" x14ac:dyDescent="0.25">
      <c r="B20" s="168" t="s">
        <v>128</v>
      </c>
      <c r="C20" s="167"/>
    </row>
    <row r="21" spans="2:3" s="166" customFormat="1" ht="16.5" customHeight="1" x14ac:dyDescent="0.25">
      <c r="B21"/>
      <c r="C21"/>
    </row>
    <row r="22" spans="2:3" s="166" customFormat="1" ht="16.5" customHeight="1" x14ac:dyDescent="0.25">
      <c r="B22"/>
      <c r="C22"/>
    </row>
    <row r="23" spans="2:3" s="166" customFormat="1" ht="16.5" customHeight="1" x14ac:dyDescent="0.25">
      <c r="B23"/>
      <c r="C23"/>
    </row>
    <row r="24" spans="2:3" s="166" customFormat="1" ht="16.5" customHeight="1" x14ac:dyDescent="0.25">
      <c r="B24"/>
      <c r="C24"/>
    </row>
    <row r="25" spans="2:3" s="166" customFormat="1" ht="16.5" customHeight="1" x14ac:dyDescent="0.25">
      <c r="B25"/>
      <c r="C25"/>
    </row>
  </sheetData>
  <hyperlinks>
    <hyperlink ref="H1" r:id="rId1" tooltip="Más información"/>
  </hyperlinks>
  <pageMargins left="0.7" right="0.7" top="0.75" bottom="0.75" header="0.3" footer="0.3"/>
  <pageSetup orientation="portrait" r:id="rId2"/>
  <drawing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showGridLines="0" zoomScaleNormal="100" workbookViewId="0"/>
  </sheetViews>
  <sheetFormatPr baseColWidth="10" defaultColWidth="9.140625" defaultRowHeight="15" x14ac:dyDescent="0.25"/>
  <cols>
    <col min="1" max="1" width="9.140625" customWidth="1"/>
    <col min="2" max="2" width="34.140625" customWidth="1"/>
    <col min="3" max="3" width="17.42578125" customWidth="1"/>
    <col min="4" max="5" width="14.28515625" customWidth="1"/>
    <col min="9" max="9" width="9.7109375" customWidth="1"/>
  </cols>
  <sheetData>
    <row r="1" spans="2:11" ht="48" x14ac:dyDescent="0.85">
      <c r="B1" s="173" t="s">
        <v>177</v>
      </c>
      <c r="K1" s="181" t="s">
        <v>147</v>
      </c>
    </row>
    <row r="2" spans="2:11" ht="17.25" x14ac:dyDescent="0.3">
      <c r="B2" s="180" t="s">
        <v>176</v>
      </c>
    </row>
    <row r="4" spans="2:11" ht="16.5" x14ac:dyDescent="0.3">
      <c r="B4" s="179" t="s">
        <v>175</v>
      </c>
      <c r="C4" s="175" t="s">
        <v>174</v>
      </c>
      <c r="D4" s="175" t="s">
        <v>173</v>
      </c>
      <c r="E4" s="175" t="s">
        <v>172</v>
      </c>
    </row>
    <row r="5" spans="2:11" ht="16.5" customHeight="1" x14ac:dyDescent="0.25">
      <c r="B5" s="178" t="s">
        <v>171</v>
      </c>
      <c r="C5" s="177" t="s">
        <v>153</v>
      </c>
      <c r="D5" s="176">
        <v>195449</v>
      </c>
      <c r="E5" s="176">
        <v>746907</v>
      </c>
    </row>
    <row r="6" spans="2:11" ht="16.5" customHeight="1" x14ac:dyDescent="0.25">
      <c r="B6" s="178" t="s">
        <v>170</v>
      </c>
      <c r="C6" s="177" t="s">
        <v>149</v>
      </c>
      <c r="D6" s="176">
        <v>123721</v>
      </c>
      <c r="E6" s="176">
        <v>733396</v>
      </c>
    </row>
    <row r="7" spans="2:11" ht="16.5" customHeight="1" x14ac:dyDescent="0.25">
      <c r="B7" s="178" t="s">
        <v>169</v>
      </c>
      <c r="C7" s="177" t="s">
        <v>149</v>
      </c>
      <c r="D7" s="176">
        <v>934763</v>
      </c>
      <c r="E7" s="176">
        <v>246554</v>
      </c>
    </row>
    <row r="8" spans="2:11" ht="16.5" customHeight="1" x14ac:dyDescent="0.25">
      <c r="B8" s="178" t="s">
        <v>168</v>
      </c>
      <c r="C8" s="177" t="s">
        <v>161</v>
      </c>
      <c r="D8" s="176">
        <v>299293</v>
      </c>
      <c r="E8" s="176">
        <v>674295</v>
      </c>
    </row>
    <row r="9" spans="2:11" ht="16.5" customHeight="1" x14ac:dyDescent="0.25">
      <c r="B9" s="178" t="s">
        <v>167</v>
      </c>
      <c r="C9" s="177" t="s">
        <v>159</v>
      </c>
      <c r="D9" s="176">
        <v>228783</v>
      </c>
      <c r="E9" s="176">
        <v>659385</v>
      </c>
    </row>
    <row r="10" spans="2:11" ht="16.5" customHeight="1" x14ac:dyDescent="0.25">
      <c r="B10" s="178" t="s">
        <v>166</v>
      </c>
      <c r="C10" s="177" t="s">
        <v>151</v>
      </c>
      <c r="D10" s="176">
        <v>239219</v>
      </c>
      <c r="E10" s="176">
        <v>287989</v>
      </c>
    </row>
    <row r="11" spans="2:11" ht="16.5" customHeight="1" x14ac:dyDescent="0.25">
      <c r="B11" s="178" t="s">
        <v>165</v>
      </c>
      <c r="C11" s="177" t="s">
        <v>164</v>
      </c>
      <c r="D11" s="176">
        <v>371570</v>
      </c>
      <c r="E11" s="176">
        <v>644368</v>
      </c>
    </row>
    <row r="12" spans="2:11" ht="16.5" customHeight="1" x14ac:dyDescent="0.25">
      <c r="B12" s="178" t="s">
        <v>163</v>
      </c>
      <c r="C12" s="177" t="s">
        <v>153</v>
      </c>
      <c r="D12" s="176">
        <v>579825</v>
      </c>
      <c r="E12" s="176">
        <v>448399</v>
      </c>
    </row>
    <row r="13" spans="2:11" ht="16.5" customHeight="1" x14ac:dyDescent="0.25">
      <c r="B13" s="178" t="s">
        <v>162</v>
      </c>
      <c r="C13" s="177" t="s">
        <v>161</v>
      </c>
      <c r="D13" s="176">
        <v>639630</v>
      </c>
      <c r="E13" s="176">
        <v>635474</v>
      </c>
    </row>
    <row r="14" spans="2:11" ht="16.5" customHeight="1" x14ac:dyDescent="0.25">
      <c r="B14" s="178" t="s">
        <v>160</v>
      </c>
      <c r="C14" s="177" t="s">
        <v>159</v>
      </c>
      <c r="D14" s="176">
        <v>876740</v>
      </c>
      <c r="E14" s="176">
        <v>567216</v>
      </c>
    </row>
    <row r="15" spans="2:11" ht="16.5" customHeight="1" x14ac:dyDescent="0.25">
      <c r="B15" s="178" t="s">
        <v>158</v>
      </c>
      <c r="C15" s="177" t="s">
        <v>157</v>
      </c>
      <c r="D15" s="176">
        <v>788390</v>
      </c>
      <c r="E15" s="176">
        <v>540282</v>
      </c>
    </row>
    <row r="16" spans="2:11" ht="16.5" customHeight="1" x14ac:dyDescent="0.25">
      <c r="B16" s="178" t="s">
        <v>156</v>
      </c>
      <c r="C16" s="177" t="s">
        <v>155</v>
      </c>
      <c r="D16" s="176">
        <v>682545</v>
      </c>
      <c r="E16" s="176">
        <v>577599</v>
      </c>
    </row>
    <row r="17" spans="2:5" ht="16.5" customHeight="1" x14ac:dyDescent="0.25">
      <c r="B17" s="178" t="s">
        <v>154</v>
      </c>
      <c r="C17" s="177" t="s">
        <v>153</v>
      </c>
      <c r="D17" s="176">
        <v>902264</v>
      </c>
      <c r="E17" s="176">
        <v>206331</v>
      </c>
    </row>
    <row r="18" spans="2:5" ht="16.5" customHeight="1" x14ac:dyDescent="0.25">
      <c r="B18" s="178" t="s">
        <v>152</v>
      </c>
      <c r="C18" s="177" t="s">
        <v>151</v>
      </c>
      <c r="D18" s="176">
        <v>905906</v>
      </c>
      <c r="E18" s="176">
        <v>443552</v>
      </c>
    </row>
    <row r="19" spans="2:5" ht="16.5" customHeight="1" x14ac:dyDescent="0.25">
      <c r="B19" s="178" t="s">
        <v>150</v>
      </c>
      <c r="C19" s="177" t="s">
        <v>149</v>
      </c>
      <c r="D19" s="176">
        <v>289570</v>
      </c>
      <c r="E19" s="176">
        <v>843834</v>
      </c>
    </row>
    <row r="20" spans="2:5" ht="16.5" x14ac:dyDescent="0.3">
      <c r="B20" s="175"/>
      <c r="C20" s="175"/>
      <c r="D20" s="174"/>
    </row>
    <row r="21" spans="2:5" ht="16.5" x14ac:dyDescent="0.3">
      <c r="B21" s="175"/>
      <c r="C21" s="175"/>
      <c r="D21" s="174"/>
    </row>
    <row r="22" spans="2:5" ht="16.5" x14ac:dyDescent="0.3">
      <c r="B22" s="175"/>
      <c r="C22" s="175"/>
      <c r="D22" s="174"/>
    </row>
  </sheetData>
  <hyperlinks>
    <hyperlink ref="K1" r:id="rId1" tooltip="Más información"/>
  </hyperlinks>
  <pageMargins left="0.7" right="0.7" top="0.75" bottom="0.75" header="0.3" footer="0.3"/>
  <pageSetup orientation="portrait" r:id="rId2"/>
  <drawing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showGridLines="0" zoomScaleNormal="100" workbookViewId="0"/>
  </sheetViews>
  <sheetFormatPr baseColWidth="10" defaultColWidth="9.140625" defaultRowHeight="15" x14ac:dyDescent="0.25"/>
  <cols>
    <col min="2" max="2" width="44" customWidth="1"/>
    <col min="3" max="3" width="15" customWidth="1"/>
    <col min="4" max="4" width="14.28515625" customWidth="1"/>
    <col min="9" max="9" width="9.140625" customWidth="1"/>
  </cols>
  <sheetData>
    <row r="1" spans="2:10" ht="48" x14ac:dyDescent="0.85">
      <c r="B1" s="183" t="s">
        <v>179</v>
      </c>
      <c r="J1" s="181" t="s">
        <v>147</v>
      </c>
    </row>
    <row r="2" spans="2:10" ht="17.25" x14ac:dyDescent="0.3">
      <c r="B2" s="180" t="s">
        <v>178</v>
      </c>
    </row>
    <row r="4" spans="2:10" ht="16.5" x14ac:dyDescent="0.3">
      <c r="B4" s="179" t="s">
        <v>175</v>
      </c>
      <c r="C4" s="175" t="s">
        <v>173</v>
      </c>
      <c r="D4" s="175" t="s">
        <v>172</v>
      </c>
    </row>
    <row r="5" spans="2:10" ht="16.5" customHeight="1" x14ac:dyDescent="0.25">
      <c r="B5" s="178" t="s">
        <v>171</v>
      </c>
      <c r="C5" s="182">
        <v>195449</v>
      </c>
      <c r="D5" s="176">
        <v>746907</v>
      </c>
    </row>
    <row r="6" spans="2:10" ht="16.5" customHeight="1" x14ac:dyDescent="0.25">
      <c r="B6" s="178" t="s">
        <v>170</v>
      </c>
      <c r="C6" s="182">
        <v>123721</v>
      </c>
      <c r="D6" s="176">
        <v>733396</v>
      </c>
    </row>
    <row r="7" spans="2:10" ht="16.5" customHeight="1" x14ac:dyDescent="0.25">
      <c r="B7" s="178" t="s">
        <v>169</v>
      </c>
      <c r="C7" s="182">
        <v>934763</v>
      </c>
      <c r="D7" s="176">
        <v>246554</v>
      </c>
    </row>
    <row r="8" spans="2:10" ht="16.5" customHeight="1" x14ac:dyDescent="0.25">
      <c r="B8" s="178" t="s">
        <v>168</v>
      </c>
      <c r="C8" s="182">
        <v>299293</v>
      </c>
      <c r="D8" s="176">
        <v>674295</v>
      </c>
    </row>
    <row r="9" spans="2:10" ht="16.5" customHeight="1" x14ac:dyDescent="0.25">
      <c r="B9" s="178" t="s">
        <v>167</v>
      </c>
      <c r="C9" s="182">
        <v>228783</v>
      </c>
      <c r="D9" s="176">
        <v>659385</v>
      </c>
    </row>
    <row r="10" spans="2:10" ht="16.5" customHeight="1" x14ac:dyDescent="0.25">
      <c r="B10" s="178" t="s">
        <v>166</v>
      </c>
      <c r="C10" s="182">
        <v>239219</v>
      </c>
      <c r="D10" s="176">
        <v>287989</v>
      </c>
    </row>
    <row r="11" spans="2:10" ht="16.5" customHeight="1" x14ac:dyDescent="0.25">
      <c r="B11" s="178" t="s">
        <v>165</v>
      </c>
      <c r="C11" s="182">
        <v>371570</v>
      </c>
      <c r="D11" s="176">
        <v>644368</v>
      </c>
    </row>
    <row r="12" spans="2:10" ht="16.5" customHeight="1" x14ac:dyDescent="0.25">
      <c r="B12" s="178" t="s">
        <v>163</v>
      </c>
      <c r="C12" s="182">
        <v>579825</v>
      </c>
      <c r="D12" s="176">
        <v>448399</v>
      </c>
    </row>
    <row r="13" spans="2:10" ht="16.5" customHeight="1" x14ac:dyDescent="0.25">
      <c r="B13" s="178" t="s">
        <v>162</v>
      </c>
      <c r="C13" s="182">
        <v>639630</v>
      </c>
      <c r="D13" s="176">
        <v>635474</v>
      </c>
    </row>
    <row r="14" spans="2:10" ht="16.5" customHeight="1" x14ac:dyDescent="0.25">
      <c r="B14" s="178" t="s">
        <v>160</v>
      </c>
      <c r="C14" s="182">
        <v>876740</v>
      </c>
      <c r="D14" s="176">
        <v>567216</v>
      </c>
    </row>
    <row r="15" spans="2:10" ht="16.5" customHeight="1" x14ac:dyDescent="0.25">
      <c r="B15" s="178" t="s">
        <v>158</v>
      </c>
      <c r="C15" s="182">
        <v>788390</v>
      </c>
      <c r="D15" s="176">
        <v>540282</v>
      </c>
    </row>
    <row r="16" spans="2:10" ht="16.5" customHeight="1" x14ac:dyDescent="0.25">
      <c r="B16" s="178" t="s">
        <v>156</v>
      </c>
      <c r="C16" s="182">
        <v>682545</v>
      </c>
      <c r="D16" s="176">
        <v>577599</v>
      </c>
    </row>
    <row r="17" spans="2:4" ht="16.5" customHeight="1" x14ac:dyDescent="0.25">
      <c r="B17" s="178" t="s">
        <v>154</v>
      </c>
      <c r="C17" s="182">
        <v>902264</v>
      </c>
      <c r="D17" s="176">
        <v>206331</v>
      </c>
    </row>
    <row r="18" spans="2:4" ht="16.5" customHeight="1" x14ac:dyDescent="0.25">
      <c r="B18" s="178" t="s">
        <v>152</v>
      </c>
      <c r="C18" s="182">
        <v>905906</v>
      </c>
      <c r="D18" s="176">
        <v>443552</v>
      </c>
    </row>
    <row r="19" spans="2:4" ht="16.5" customHeight="1" x14ac:dyDescent="0.25">
      <c r="B19" s="178" t="s">
        <v>150</v>
      </c>
      <c r="C19" s="182">
        <v>289570</v>
      </c>
      <c r="D19" s="176">
        <v>843834</v>
      </c>
    </row>
  </sheetData>
  <hyperlinks>
    <hyperlink ref="J1" r:id="rId1" tooltip="Más información"/>
  </hyperlinks>
  <pageMargins left="0.7" right="0.7" top="0.75" bottom="0.75" header="0.3" footer="0.3"/>
  <pageSetup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AD39"/>
  <sheetViews>
    <sheetView zoomScaleNormal="100" workbookViewId="0">
      <selection activeCell="Q7" sqref="Q7:Q10"/>
    </sheetView>
  </sheetViews>
  <sheetFormatPr baseColWidth="10" defaultRowHeight="15" x14ac:dyDescent="0.25"/>
  <cols>
    <col min="1" max="1" width="3.5703125" customWidth="1"/>
    <col min="2" max="2" width="23.85546875" customWidth="1"/>
    <col min="3" max="3" width="14.140625" customWidth="1"/>
    <col min="4" max="4" width="14.5703125" bestFit="1" customWidth="1"/>
    <col min="5" max="5" width="16.5703125" customWidth="1"/>
    <col min="6" max="6" width="14.7109375" customWidth="1"/>
    <col min="7" max="7" width="13.7109375" customWidth="1"/>
    <col min="8" max="8" width="19.7109375" style="347" customWidth="1"/>
    <col min="9" max="9" width="15.7109375" style="347" customWidth="1"/>
    <col min="10" max="10" width="14.5703125" style="347" bestFit="1" customWidth="1"/>
    <col min="11" max="11" width="12.140625" bestFit="1" customWidth="1"/>
    <col min="12" max="12" width="16.42578125" customWidth="1"/>
    <col min="13" max="13" width="13.42578125" bestFit="1" customWidth="1"/>
    <col min="14" max="14" width="17.85546875" customWidth="1"/>
    <col min="15" max="15" width="14.42578125" customWidth="1"/>
    <col min="16" max="16" width="15.140625" customWidth="1"/>
    <col min="17" max="17" width="14.5703125" customWidth="1"/>
    <col min="18" max="19" width="14.42578125" customWidth="1"/>
    <col min="20" max="20" width="15.5703125" customWidth="1"/>
    <col min="21" max="21" width="16.42578125" customWidth="1"/>
    <col min="22" max="22" width="14.85546875" hidden="1" customWidth="1"/>
    <col min="23" max="26" width="0" hidden="1" customWidth="1"/>
    <col min="27" max="27" width="15.5703125" bestFit="1" customWidth="1"/>
    <col min="28" max="28" width="17.85546875" bestFit="1" customWidth="1"/>
    <col min="29" max="29" width="12.140625" bestFit="1" customWidth="1"/>
  </cols>
  <sheetData>
    <row r="2" spans="2:30" x14ac:dyDescent="0.25">
      <c r="B2" s="1"/>
      <c r="C2" s="1"/>
      <c r="D2" s="1"/>
      <c r="E2" s="1"/>
      <c r="F2" s="1"/>
      <c r="G2" s="1"/>
      <c r="U2" s="346"/>
    </row>
    <row r="3" spans="2:30" x14ac:dyDescent="0.25">
      <c r="B3" s="624"/>
      <c r="C3" s="624"/>
      <c r="D3" s="624"/>
      <c r="E3" s="624"/>
      <c r="F3" s="624"/>
      <c r="G3" s="624"/>
      <c r="H3" s="624"/>
      <c r="I3" s="624"/>
      <c r="J3" s="624"/>
      <c r="K3" s="624"/>
      <c r="L3" s="624"/>
      <c r="M3" s="624"/>
      <c r="N3" s="624"/>
      <c r="O3" s="624"/>
      <c r="P3" s="624"/>
      <c r="Q3" s="624"/>
      <c r="R3" s="624"/>
      <c r="S3" s="624"/>
      <c r="T3" s="624"/>
      <c r="U3" s="624"/>
    </row>
    <row r="4" spans="2:30" x14ac:dyDescent="0.25">
      <c r="B4" s="624" t="s">
        <v>280</v>
      </c>
      <c r="C4" s="624"/>
      <c r="D4" s="624"/>
      <c r="E4" s="624"/>
      <c r="F4" s="624"/>
      <c r="G4" s="624"/>
      <c r="H4" s="624"/>
      <c r="I4" s="624"/>
      <c r="J4" s="624"/>
      <c r="K4" s="624"/>
      <c r="L4" s="624"/>
      <c r="M4" s="624"/>
      <c r="N4" s="624"/>
      <c r="O4" s="624"/>
      <c r="P4" s="624"/>
      <c r="Q4" s="624"/>
      <c r="R4" s="624"/>
      <c r="S4" s="624"/>
      <c r="T4" s="624"/>
      <c r="U4" s="624"/>
    </row>
    <row r="5" spans="2:30" ht="15.75" thickBot="1" x14ac:dyDescent="0.3">
      <c r="B5" s="346"/>
      <c r="C5" s="346"/>
      <c r="D5" s="346"/>
      <c r="E5" s="346"/>
      <c r="F5" s="346"/>
      <c r="G5" s="346"/>
      <c r="H5" s="346"/>
      <c r="I5" s="346"/>
      <c r="J5" s="346"/>
      <c r="K5" s="347"/>
    </row>
    <row r="6" spans="2:30" ht="33.75" customHeight="1" thickBot="1" x14ac:dyDescent="0.3">
      <c r="B6" s="625" t="s">
        <v>26</v>
      </c>
      <c r="C6" s="660" t="s">
        <v>281</v>
      </c>
      <c r="D6" s="110"/>
      <c r="E6" s="662" t="s">
        <v>192</v>
      </c>
      <c r="F6" s="663"/>
      <c r="G6" s="663"/>
      <c r="H6" s="664"/>
      <c r="I6" s="662" t="s">
        <v>193</v>
      </c>
      <c r="J6" s="663"/>
      <c r="K6" s="663"/>
      <c r="L6" s="663"/>
      <c r="M6" s="663"/>
      <c r="N6" s="664"/>
      <c r="O6" s="665" t="s">
        <v>196</v>
      </c>
      <c r="P6" s="666"/>
      <c r="Q6" s="666"/>
      <c r="R6" s="666"/>
      <c r="S6" s="666"/>
      <c r="T6" s="667"/>
      <c r="U6" s="668" t="s">
        <v>207</v>
      </c>
      <c r="V6" s="641" t="s">
        <v>181</v>
      </c>
    </row>
    <row r="7" spans="2:30" ht="15" customHeight="1" x14ac:dyDescent="0.25">
      <c r="B7" s="626"/>
      <c r="C7" s="661"/>
      <c r="D7" s="72" t="s">
        <v>198</v>
      </c>
      <c r="E7" s="266" t="s">
        <v>282</v>
      </c>
      <c r="F7" s="642" t="s">
        <v>285</v>
      </c>
      <c r="G7" s="255" t="s">
        <v>287</v>
      </c>
      <c r="H7" s="642" t="s">
        <v>349</v>
      </c>
      <c r="I7" s="644" t="s">
        <v>288</v>
      </c>
      <c r="J7" s="645"/>
      <c r="K7" s="645"/>
      <c r="L7" s="648" t="s">
        <v>313</v>
      </c>
      <c r="M7" s="255" t="s">
        <v>287</v>
      </c>
      <c r="N7" s="642" t="s">
        <v>350</v>
      </c>
      <c r="O7" s="642" t="s">
        <v>289</v>
      </c>
      <c r="P7" s="652" t="s">
        <v>290</v>
      </c>
      <c r="Q7" s="648" t="s">
        <v>291</v>
      </c>
      <c r="R7" s="656" t="s">
        <v>292</v>
      </c>
      <c r="S7" s="669" t="s">
        <v>293</v>
      </c>
      <c r="T7" s="671" t="s">
        <v>206</v>
      </c>
      <c r="U7" s="650"/>
      <c r="V7" s="641"/>
    </row>
    <row r="8" spans="2:30" ht="15.75" thickBot="1" x14ac:dyDescent="0.3">
      <c r="B8" s="626"/>
      <c r="C8" s="661"/>
      <c r="D8" s="72" t="s">
        <v>101</v>
      </c>
      <c r="E8" s="267" t="s">
        <v>283</v>
      </c>
      <c r="F8" s="643"/>
      <c r="G8" s="256" t="s">
        <v>121</v>
      </c>
      <c r="H8" s="672"/>
      <c r="I8" s="646"/>
      <c r="J8" s="647"/>
      <c r="K8" s="647"/>
      <c r="L8" s="649"/>
      <c r="M8" s="256" t="s">
        <v>121</v>
      </c>
      <c r="N8" s="672"/>
      <c r="O8" s="650"/>
      <c r="P8" s="653"/>
      <c r="Q8" s="643"/>
      <c r="R8" s="657"/>
      <c r="S8" s="670"/>
      <c r="T8" s="657"/>
      <c r="U8" s="650"/>
      <c r="V8" s="641"/>
    </row>
    <row r="9" spans="2:30" x14ac:dyDescent="0.25">
      <c r="B9" s="626"/>
      <c r="C9" s="90">
        <v>2014</v>
      </c>
      <c r="D9" s="75" t="s">
        <v>51</v>
      </c>
      <c r="E9" s="510" t="s">
        <v>284</v>
      </c>
      <c r="F9" s="511" t="s">
        <v>286</v>
      </c>
      <c r="G9" s="257">
        <v>0.6</v>
      </c>
      <c r="H9" s="529" t="s">
        <v>71</v>
      </c>
      <c r="I9" s="269">
        <v>2015</v>
      </c>
      <c r="J9" s="258">
        <v>2016</v>
      </c>
      <c r="K9" s="259" t="s">
        <v>213</v>
      </c>
      <c r="L9" s="649"/>
      <c r="M9" s="257">
        <v>0.3</v>
      </c>
      <c r="N9" s="672"/>
      <c r="O9" s="650"/>
      <c r="P9" s="653"/>
      <c r="Q9" s="643"/>
      <c r="R9" s="657"/>
      <c r="S9" s="670"/>
      <c r="T9" s="657"/>
      <c r="U9" s="650"/>
      <c r="V9" s="641"/>
    </row>
    <row r="10" spans="2:30" ht="15.75" thickBot="1" x14ac:dyDescent="0.3">
      <c r="B10" s="626"/>
      <c r="C10" s="66" t="s">
        <v>1</v>
      </c>
      <c r="D10" s="86"/>
      <c r="E10" s="268" t="s">
        <v>25</v>
      </c>
      <c r="F10" s="260" t="s">
        <v>194</v>
      </c>
      <c r="G10" s="260" t="s">
        <v>66</v>
      </c>
      <c r="H10" s="530" t="s">
        <v>106</v>
      </c>
      <c r="I10" s="260" t="s">
        <v>76</v>
      </c>
      <c r="J10" s="260" t="s">
        <v>86</v>
      </c>
      <c r="K10" s="260" t="s">
        <v>214</v>
      </c>
      <c r="L10" s="261" t="s">
        <v>200</v>
      </c>
      <c r="M10" s="260" t="s">
        <v>195</v>
      </c>
      <c r="N10" s="531" t="s">
        <v>351</v>
      </c>
      <c r="O10" s="651"/>
      <c r="P10" s="654"/>
      <c r="Q10" s="655"/>
      <c r="R10" s="658"/>
      <c r="S10" s="262" t="s">
        <v>197</v>
      </c>
      <c r="T10" s="658"/>
      <c r="U10" s="651"/>
      <c r="V10" s="641"/>
      <c r="X10" s="102"/>
    </row>
    <row r="11" spans="2:30" s="24" customFormat="1" ht="27" customHeight="1" x14ac:dyDescent="0.25">
      <c r="B11" s="270" t="s">
        <v>3</v>
      </c>
      <c r="C11" s="271">
        <v>3.62</v>
      </c>
      <c r="D11" s="272">
        <v>35350314.182820007</v>
      </c>
      <c r="E11" s="273">
        <v>37309</v>
      </c>
      <c r="F11" s="274">
        <f>E11/$E$31*100</f>
        <v>3.1589687142796663</v>
      </c>
      <c r="G11" s="275">
        <f>F11*0.6</f>
        <v>1.8953812285677998</v>
      </c>
      <c r="H11" s="276">
        <v>5298042.5173532059</v>
      </c>
      <c r="I11" s="277">
        <v>9840850</v>
      </c>
      <c r="J11" s="278">
        <v>9587479</v>
      </c>
      <c r="K11" s="274">
        <f>J11/I11</f>
        <v>0.97425313870244945</v>
      </c>
      <c r="L11" s="274">
        <f>K11/$K$31*100</f>
        <v>3.9702722966484543</v>
      </c>
      <c r="M11" s="274">
        <f>L11*0.3</f>
        <v>1.1910816889945361</v>
      </c>
      <c r="N11" s="279">
        <v>3329357.3529280056</v>
      </c>
      <c r="O11" s="280">
        <f>H11+N11</f>
        <v>8627399.870281212</v>
      </c>
      <c r="P11" s="274">
        <f>M11+G11</f>
        <v>3.0864629175623359</v>
      </c>
      <c r="Q11" s="274">
        <f>MINVERSE(P11)</f>
        <v>0.32399546882934593</v>
      </c>
      <c r="R11" s="274">
        <f>Q11/Q$31*100</f>
        <v>4.6874668574217839</v>
      </c>
      <c r="S11" s="274">
        <f>R11*0.1</f>
        <v>0.46874668574217843</v>
      </c>
      <c r="T11" s="281">
        <f>$T$31*R11/100</f>
        <v>1310258.7667965507</v>
      </c>
      <c r="U11" s="282">
        <f t="shared" ref="U11:U30" si="0">D11+H11+N11+T11</f>
        <v>45287972.819897771</v>
      </c>
      <c r="V11" s="206" t="e">
        <f>#REF!+M11+G11</f>
        <v>#REF!</v>
      </c>
      <c r="W11" s="207"/>
      <c r="X11" s="208">
        <v>0.97425313870244945</v>
      </c>
      <c r="Y11" s="208">
        <f t="shared" ref="Y11:Y30" si="1">K11-X11</f>
        <v>0</v>
      </c>
      <c r="AA11" s="207"/>
      <c r="AB11" s="228"/>
      <c r="AC11" s="207"/>
      <c r="AD11" s="207"/>
    </row>
    <row r="12" spans="2:30" s="24" customFormat="1" ht="27" customHeight="1" x14ac:dyDescent="0.25">
      <c r="B12" s="270" t="s">
        <v>4</v>
      </c>
      <c r="C12" s="283">
        <v>2.4700000000000002</v>
      </c>
      <c r="D12" s="284">
        <v>24120241.997670002</v>
      </c>
      <c r="E12" s="273">
        <v>15953</v>
      </c>
      <c r="F12" s="274">
        <f t="shared" ref="F12:F30" si="2">E12/$E$31*100</f>
        <v>1.3507472164599297</v>
      </c>
      <c r="G12" s="275">
        <f t="shared" ref="G12:G30" si="3">F12*0.6</f>
        <v>0.81044832987595783</v>
      </c>
      <c r="H12" s="285">
        <v>2265396.3461721223</v>
      </c>
      <c r="I12" s="277">
        <v>3790321</v>
      </c>
      <c r="J12" s="278">
        <v>4153474</v>
      </c>
      <c r="K12" s="274">
        <f t="shared" ref="K12:K30" si="4">J12/I12</f>
        <v>1.0958106186784708</v>
      </c>
      <c r="L12" s="274">
        <f t="shared" ref="L12:L30" si="5">K12/$K$31*100</f>
        <v>4.4656428282147838</v>
      </c>
      <c r="M12" s="286">
        <f t="shared" ref="M12:M30" si="6">L12*0.3</f>
        <v>1.339692848464435</v>
      </c>
      <c r="N12" s="287">
        <v>3744760.9823179748</v>
      </c>
      <c r="O12" s="288">
        <f t="shared" ref="O12:O31" si="7">H12+N12</f>
        <v>6010157.3284900971</v>
      </c>
      <c r="P12" s="286">
        <f t="shared" ref="P12:P30" si="8">M12+G12</f>
        <v>2.1501411783403928</v>
      </c>
      <c r="Q12" s="286">
        <f t="shared" ref="Q12:Q30" si="9">MINVERSE(P12)</f>
        <v>0.46508573951960663</v>
      </c>
      <c r="R12" s="286">
        <f t="shared" ref="R12:R30" si="10">Q12/Q$31*100</f>
        <v>6.7287175272378263</v>
      </c>
      <c r="S12" s="286">
        <f t="shared" ref="S12:S30" si="11">R12*0.1</f>
        <v>0.67287175272378263</v>
      </c>
      <c r="T12" s="281">
        <f t="shared" ref="T12:T30" si="12">$T$31*R12/100</f>
        <v>1880837.0058983576</v>
      </c>
      <c r="U12" s="282">
        <f t="shared" si="0"/>
        <v>32011236.33205846</v>
      </c>
      <c r="V12" s="206" t="e">
        <f>#REF!+M12+G12</f>
        <v>#REF!</v>
      </c>
      <c r="W12" s="207"/>
      <c r="X12" s="208">
        <v>1.0958106186784708</v>
      </c>
      <c r="Y12" s="208">
        <f t="shared" si="1"/>
        <v>0</v>
      </c>
      <c r="AA12" s="207"/>
      <c r="AB12" s="228"/>
      <c r="AC12" s="207"/>
      <c r="AD12" s="207"/>
    </row>
    <row r="13" spans="2:30" s="24" customFormat="1" ht="27" customHeight="1" x14ac:dyDescent="0.25">
      <c r="B13" s="270" t="s">
        <v>5</v>
      </c>
      <c r="C13" s="283">
        <v>2.33</v>
      </c>
      <c r="D13" s="284">
        <v>22753102.77513</v>
      </c>
      <c r="E13" s="273">
        <v>11851</v>
      </c>
      <c r="F13" s="274">
        <f t="shared" si="2"/>
        <v>1.0034291520257399</v>
      </c>
      <c r="G13" s="275">
        <f t="shared" si="3"/>
        <v>0.60205749121544394</v>
      </c>
      <c r="H13" s="285">
        <v>1682894.2580383515</v>
      </c>
      <c r="I13" s="277">
        <v>3689187</v>
      </c>
      <c r="J13" s="278">
        <v>3784530</v>
      </c>
      <c r="K13" s="274">
        <f t="shared" si="4"/>
        <v>1.0258439054458339</v>
      </c>
      <c r="L13" s="274">
        <f t="shared" si="5"/>
        <v>4.1805147724765668</v>
      </c>
      <c r="M13" s="286">
        <f t="shared" si="6"/>
        <v>1.25415443174297</v>
      </c>
      <c r="N13" s="287">
        <v>3505660.7095987825</v>
      </c>
      <c r="O13" s="288">
        <f t="shared" si="7"/>
        <v>5188554.9676371338</v>
      </c>
      <c r="P13" s="286">
        <f t="shared" si="8"/>
        <v>1.856211922958414</v>
      </c>
      <c r="Q13" s="286">
        <f t="shared" si="9"/>
        <v>0.53873158965933643</v>
      </c>
      <c r="R13" s="286">
        <f t="shared" si="10"/>
        <v>7.7942030507358862</v>
      </c>
      <c r="S13" s="286">
        <f t="shared" si="11"/>
        <v>0.77942030507358862</v>
      </c>
      <c r="T13" s="281">
        <f t="shared" si="12"/>
        <v>2178665.6179231498</v>
      </c>
      <c r="U13" s="282">
        <f t="shared" si="0"/>
        <v>30120323.360690288</v>
      </c>
      <c r="V13" s="206" t="e">
        <f>#REF!+M13+G13</f>
        <v>#REF!</v>
      </c>
      <c r="W13" s="207"/>
      <c r="X13" s="208">
        <v>1.0258439054458339</v>
      </c>
      <c r="Y13" s="208">
        <f t="shared" si="1"/>
        <v>0</v>
      </c>
      <c r="AA13" s="207"/>
      <c r="AB13" s="228"/>
      <c r="AC13" s="207"/>
      <c r="AD13" s="207"/>
    </row>
    <row r="14" spans="2:30" s="24" customFormat="1" ht="27" customHeight="1" x14ac:dyDescent="0.25">
      <c r="B14" s="270" t="s">
        <v>6</v>
      </c>
      <c r="C14" s="283">
        <v>2.81</v>
      </c>
      <c r="D14" s="284">
        <v>27440437.252410002</v>
      </c>
      <c r="E14" s="273">
        <v>150250</v>
      </c>
      <c r="F14" s="274">
        <f t="shared" si="2"/>
        <v>12.721730663392744</v>
      </c>
      <c r="G14" s="275">
        <f t="shared" si="3"/>
        <v>7.6330383980356462</v>
      </c>
      <c r="H14" s="285">
        <v>21336162.540735997</v>
      </c>
      <c r="I14" s="277">
        <v>173337196.16</v>
      </c>
      <c r="J14" s="278">
        <v>214394286</v>
      </c>
      <c r="K14" s="274">
        <f t="shared" si="4"/>
        <v>1.2368625473905901</v>
      </c>
      <c r="L14" s="274">
        <f t="shared" si="5"/>
        <v>5.0404570553471801</v>
      </c>
      <c r="M14" s="286">
        <f t="shared" si="6"/>
        <v>1.512137116604154</v>
      </c>
      <c r="N14" s="287">
        <v>4226783.8338202238</v>
      </c>
      <c r="O14" s="288">
        <f t="shared" si="7"/>
        <v>25562946.374556221</v>
      </c>
      <c r="P14" s="286">
        <f t="shared" si="8"/>
        <v>9.1451755146397993</v>
      </c>
      <c r="Q14" s="286">
        <f t="shared" si="9"/>
        <v>0.10934727260282516</v>
      </c>
      <c r="R14" s="286">
        <f t="shared" si="10"/>
        <v>1.5820027302455366</v>
      </c>
      <c r="S14" s="286">
        <f t="shared" si="11"/>
        <v>0.15820027302455367</v>
      </c>
      <c r="T14" s="281">
        <f t="shared" si="12"/>
        <v>442207.48848993459</v>
      </c>
      <c r="U14" s="282">
        <f t="shared" si="0"/>
        <v>53445591.115456156</v>
      </c>
      <c r="V14" s="206" t="e">
        <f>#REF!+M14+G14</f>
        <v>#REF!</v>
      </c>
      <c r="W14" s="207"/>
      <c r="X14" s="208">
        <v>1.2368625473905901</v>
      </c>
      <c r="Y14" s="208">
        <f t="shared" si="1"/>
        <v>0</v>
      </c>
      <c r="AA14" s="207"/>
      <c r="AB14" s="228"/>
      <c r="AC14" s="207"/>
      <c r="AD14" s="207"/>
    </row>
    <row r="15" spans="2:30" s="24" customFormat="1" ht="27" customHeight="1" x14ac:dyDescent="0.25">
      <c r="B15" s="270" t="s">
        <v>7</v>
      </c>
      <c r="C15" s="283">
        <v>4.6399999999999997</v>
      </c>
      <c r="D15" s="284">
        <v>45310899.947039999</v>
      </c>
      <c r="E15" s="273">
        <v>75520</v>
      </c>
      <c r="F15" s="274">
        <f t="shared" si="2"/>
        <v>6.3943101477498834</v>
      </c>
      <c r="G15" s="275">
        <f t="shared" si="3"/>
        <v>3.8365860886499297</v>
      </c>
      <c r="H15" s="285">
        <v>10724173.012155622</v>
      </c>
      <c r="I15" s="277">
        <v>38608461</v>
      </c>
      <c r="J15" s="278">
        <v>23134391</v>
      </c>
      <c r="K15" s="274">
        <f t="shared" si="4"/>
        <v>0.59920521048482089</v>
      </c>
      <c r="L15" s="274">
        <f t="shared" si="5"/>
        <v>2.4418785556736839</v>
      </c>
      <c r="M15" s="286">
        <f t="shared" si="6"/>
        <v>0.73256356670210521</v>
      </c>
      <c r="N15" s="287">
        <v>2047689.8602527403</v>
      </c>
      <c r="O15" s="288">
        <f t="shared" si="7"/>
        <v>12771862.872408362</v>
      </c>
      <c r="P15" s="286">
        <f t="shared" si="8"/>
        <v>4.5691496553520352</v>
      </c>
      <c r="Q15" s="286">
        <f t="shared" si="9"/>
        <v>0.21885910408486148</v>
      </c>
      <c r="R15" s="286">
        <f t="shared" si="10"/>
        <v>3.1663862477754878</v>
      </c>
      <c r="S15" s="286">
        <f t="shared" si="11"/>
        <v>0.31663862477754878</v>
      </c>
      <c r="T15" s="281">
        <f t="shared" si="12"/>
        <v>885080.46379954508</v>
      </c>
      <c r="U15" s="282">
        <f t="shared" si="0"/>
        <v>58967843.283247903</v>
      </c>
      <c r="V15" s="206" t="e">
        <f>#REF!+M15+G15</f>
        <v>#REF!</v>
      </c>
      <c r="W15" s="207"/>
      <c r="X15" s="208">
        <v>0.59920521048482089</v>
      </c>
      <c r="Y15" s="208">
        <f t="shared" si="1"/>
        <v>0</v>
      </c>
      <c r="AA15" s="207"/>
      <c r="AB15" s="228"/>
      <c r="AC15" s="207"/>
      <c r="AD15" s="207"/>
    </row>
    <row r="16" spans="2:30" s="24" customFormat="1" ht="27" customHeight="1" x14ac:dyDescent="0.25">
      <c r="B16" s="270" t="s">
        <v>8</v>
      </c>
      <c r="C16" s="283">
        <v>1.5</v>
      </c>
      <c r="D16" s="284">
        <v>14647920.2415</v>
      </c>
      <c r="E16" s="273">
        <v>42514</v>
      </c>
      <c r="F16" s="274">
        <f t="shared" si="2"/>
        <v>3.5996782524025233</v>
      </c>
      <c r="G16" s="275">
        <f t="shared" si="3"/>
        <v>2.1598069514415137</v>
      </c>
      <c r="H16" s="285">
        <v>6037175.4692635611</v>
      </c>
      <c r="I16" s="277">
        <v>56558</v>
      </c>
      <c r="J16" s="278">
        <v>287635</v>
      </c>
      <c r="K16" s="274">
        <f t="shared" si="4"/>
        <v>5.0856642738427809</v>
      </c>
      <c r="L16" s="274">
        <f t="shared" si="5"/>
        <v>20.725077676818788</v>
      </c>
      <c r="M16" s="286">
        <f t="shared" si="6"/>
        <v>6.2175233030456365</v>
      </c>
      <c r="N16" s="287">
        <v>17379460.298370156</v>
      </c>
      <c r="O16" s="288">
        <f t="shared" si="7"/>
        <v>23416635.767633718</v>
      </c>
      <c r="P16" s="286">
        <f t="shared" si="8"/>
        <v>8.3773302544871502</v>
      </c>
      <c r="Q16" s="286">
        <f t="shared" si="9"/>
        <v>0.1193697717079221</v>
      </c>
      <c r="R16" s="286">
        <f t="shared" si="10"/>
        <v>1.7270051667099389</v>
      </c>
      <c r="S16" s="286">
        <f t="shared" si="11"/>
        <v>0.1727005166709939</v>
      </c>
      <c r="T16" s="281">
        <f t="shared" si="12"/>
        <v>482739.12729683635</v>
      </c>
      <c r="U16" s="282">
        <f t="shared" si="0"/>
        <v>38547295.136430547</v>
      </c>
      <c r="V16" s="206" t="e">
        <f>#REF!+M16+G16</f>
        <v>#REF!</v>
      </c>
      <c r="W16" s="207"/>
      <c r="X16" s="208">
        <v>5.0856642738427809</v>
      </c>
      <c r="Y16" s="208">
        <f t="shared" si="1"/>
        <v>0</v>
      </c>
      <c r="AA16" s="207"/>
      <c r="AB16" s="228"/>
      <c r="AC16" s="207"/>
      <c r="AD16" s="207"/>
    </row>
    <row r="17" spans="2:30" s="24" customFormat="1" ht="27" customHeight="1" x14ac:dyDescent="0.25">
      <c r="B17" s="270" t="s">
        <v>9</v>
      </c>
      <c r="C17" s="283">
        <v>1.53</v>
      </c>
      <c r="D17" s="284">
        <v>14940878.646330001</v>
      </c>
      <c r="E17" s="273">
        <v>12614</v>
      </c>
      <c r="F17" s="274">
        <f t="shared" si="2"/>
        <v>1.0680326827822699</v>
      </c>
      <c r="G17" s="275">
        <f t="shared" si="3"/>
        <v>0.64081960966936191</v>
      </c>
      <c r="H17" s="285">
        <v>1791243.6225547011</v>
      </c>
      <c r="I17" s="277">
        <v>81890</v>
      </c>
      <c r="J17" s="278">
        <v>62501</v>
      </c>
      <c r="K17" s="274">
        <f t="shared" si="4"/>
        <v>0.76323116375625843</v>
      </c>
      <c r="L17" s="274">
        <f t="shared" si="5"/>
        <v>3.1103164311444003</v>
      </c>
      <c r="M17" s="286">
        <f t="shared" si="6"/>
        <v>0.93309492934332006</v>
      </c>
      <c r="N17" s="287">
        <v>2608222.8386967266</v>
      </c>
      <c r="O17" s="288">
        <f t="shared" si="7"/>
        <v>4399466.4612514274</v>
      </c>
      <c r="P17" s="286">
        <f t="shared" si="8"/>
        <v>1.5739145390126819</v>
      </c>
      <c r="Q17" s="286">
        <f t="shared" si="9"/>
        <v>0.63535851230353391</v>
      </c>
      <c r="R17" s="286">
        <f t="shared" si="10"/>
        <v>9.192171667599176</v>
      </c>
      <c r="S17" s="286">
        <f t="shared" si="11"/>
        <v>0.9192171667599176</v>
      </c>
      <c r="T17" s="281">
        <f t="shared" si="12"/>
        <v>2569431.1831348585</v>
      </c>
      <c r="U17" s="282">
        <f t="shared" si="0"/>
        <v>21909776.290716287</v>
      </c>
      <c r="V17" s="206" t="e">
        <f>#REF!+M17+G17</f>
        <v>#REF!</v>
      </c>
      <c r="W17" s="207"/>
      <c r="X17" s="208">
        <v>0.76323116375625843</v>
      </c>
      <c r="Y17" s="208">
        <f t="shared" si="1"/>
        <v>0</v>
      </c>
      <c r="AA17" s="207"/>
      <c r="AB17" s="228"/>
      <c r="AC17" s="207"/>
      <c r="AD17" s="207"/>
    </row>
    <row r="18" spans="2:30" s="24" customFormat="1" ht="27" customHeight="1" x14ac:dyDescent="0.25">
      <c r="B18" s="270" t="s">
        <v>10</v>
      </c>
      <c r="C18" s="283">
        <v>3.16</v>
      </c>
      <c r="D18" s="284">
        <v>30858285.308760002</v>
      </c>
      <c r="E18" s="273">
        <v>29416</v>
      </c>
      <c r="F18" s="274">
        <f t="shared" si="2"/>
        <v>2.4906650861521529</v>
      </c>
      <c r="G18" s="275">
        <f t="shared" si="3"/>
        <v>1.4943990516912917</v>
      </c>
      <c r="H18" s="285">
        <v>4177201.7124678213</v>
      </c>
      <c r="I18" s="277">
        <v>9310961</v>
      </c>
      <c r="J18" s="278">
        <v>14390923</v>
      </c>
      <c r="K18" s="274">
        <f t="shared" si="4"/>
        <v>1.5455894402307131</v>
      </c>
      <c r="L18" s="274">
        <f t="shared" si="5"/>
        <v>6.2985795916584042</v>
      </c>
      <c r="M18" s="286">
        <f t="shared" si="6"/>
        <v>1.8895738774975213</v>
      </c>
      <c r="N18" s="287">
        <v>5281809.5862574494</v>
      </c>
      <c r="O18" s="288">
        <f t="shared" si="7"/>
        <v>9459011.2987252697</v>
      </c>
      <c r="P18" s="286">
        <f t="shared" si="8"/>
        <v>3.383972929188813</v>
      </c>
      <c r="Q18" s="286">
        <f t="shared" si="9"/>
        <v>0.29551063821297008</v>
      </c>
      <c r="R18" s="286">
        <f t="shared" si="10"/>
        <v>4.2753570833685446</v>
      </c>
      <c r="S18" s="286">
        <f t="shared" si="11"/>
        <v>0.4275357083368545</v>
      </c>
      <c r="T18" s="281">
        <f t="shared" si="12"/>
        <v>1195064.2575317326</v>
      </c>
      <c r="U18" s="282">
        <f t="shared" si="0"/>
        <v>41512360.865017004</v>
      </c>
      <c r="V18" s="206" t="e">
        <f>#REF!+M18+G18</f>
        <v>#REF!</v>
      </c>
      <c r="W18" s="207"/>
      <c r="X18" s="208">
        <v>1.5455894402307131</v>
      </c>
      <c r="Y18" s="208">
        <f t="shared" si="1"/>
        <v>0</v>
      </c>
      <c r="AA18" s="207"/>
      <c r="AB18" s="228"/>
      <c r="AC18" s="207"/>
      <c r="AD18" s="207"/>
    </row>
    <row r="19" spans="2:30" s="24" customFormat="1" ht="27" customHeight="1" x14ac:dyDescent="0.25">
      <c r="B19" s="270" t="s">
        <v>11</v>
      </c>
      <c r="C19" s="283">
        <v>2.81</v>
      </c>
      <c r="D19" s="284">
        <v>27440437.252410002</v>
      </c>
      <c r="E19" s="273">
        <v>18580</v>
      </c>
      <c r="F19" s="274">
        <f t="shared" si="2"/>
        <v>1.5731764108208799</v>
      </c>
      <c r="G19" s="275">
        <f t="shared" si="3"/>
        <v>0.94390584649252784</v>
      </c>
      <c r="H19" s="285">
        <v>2638441.9301622282</v>
      </c>
      <c r="I19" s="277">
        <v>3182383</v>
      </c>
      <c r="J19" s="278">
        <v>4206319</v>
      </c>
      <c r="K19" s="274">
        <f t="shared" si="4"/>
        <v>1.3217513416832607</v>
      </c>
      <c r="L19" s="274">
        <f t="shared" si="5"/>
        <v>5.3863955131128405</v>
      </c>
      <c r="M19" s="286">
        <f t="shared" si="6"/>
        <v>1.6159186539338521</v>
      </c>
      <c r="N19" s="287">
        <v>4516877.9789988659</v>
      </c>
      <c r="O19" s="288">
        <f t="shared" si="7"/>
        <v>7155319.9091610946</v>
      </c>
      <c r="P19" s="286">
        <f t="shared" si="8"/>
        <v>2.5598245004263802</v>
      </c>
      <c r="Q19" s="286">
        <f t="shared" si="9"/>
        <v>0.39065178094569913</v>
      </c>
      <c r="R19" s="286">
        <f t="shared" si="10"/>
        <v>5.6518298931528186</v>
      </c>
      <c r="S19" s="286">
        <f t="shared" si="11"/>
        <v>0.56518298931528188</v>
      </c>
      <c r="T19" s="281">
        <f t="shared" si="12"/>
        <v>1579821.232062943</v>
      </c>
      <c r="U19" s="282">
        <f t="shared" si="0"/>
        <v>36175578.393634044</v>
      </c>
      <c r="V19" s="206" t="e">
        <f>#REF!+M19+G19</f>
        <v>#REF!</v>
      </c>
      <c r="W19" s="207"/>
      <c r="X19" s="208">
        <v>1.3217513416832607</v>
      </c>
      <c r="Y19" s="208">
        <f t="shared" si="1"/>
        <v>0</v>
      </c>
      <c r="AA19" s="207"/>
      <c r="AB19" s="228"/>
      <c r="AC19" s="207"/>
      <c r="AD19" s="207"/>
    </row>
    <row r="20" spans="2:30" s="24" customFormat="1" ht="27" customHeight="1" x14ac:dyDescent="0.25">
      <c r="B20" s="270" t="s">
        <v>12</v>
      </c>
      <c r="C20" s="283">
        <v>1.6</v>
      </c>
      <c r="D20" s="284">
        <v>15624448.2576</v>
      </c>
      <c r="E20" s="273">
        <v>14315</v>
      </c>
      <c r="F20" s="274">
        <f t="shared" si="2"/>
        <v>1.212057067863342</v>
      </c>
      <c r="G20" s="275">
        <f t="shared" si="3"/>
        <v>0.72723424071800513</v>
      </c>
      <c r="H20" s="285">
        <v>2032793.1232654629</v>
      </c>
      <c r="I20" s="277">
        <v>581941</v>
      </c>
      <c r="J20" s="278">
        <v>619298</v>
      </c>
      <c r="K20" s="274">
        <f t="shared" si="4"/>
        <v>1.0641937928415424</v>
      </c>
      <c r="L20" s="274">
        <f t="shared" si="5"/>
        <v>4.3367980724303692</v>
      </c>
      <c r="M20" s="286">
        <f t="shared" si="6"/>
        <v>1.3010394217291108</v>
      </c>
      <c r="N20" s="287">
        <v>3636715.4370743465</v>
      </c>
      <c r="O20" s="288">
        <f t="shared" si="7"/>
        <v>5669508.5603398094</v>
      </c>
      <c r="P20" s="286">
        <f t="shared" si="8"/>
        <v>2.0282736624471158</v>
      </c>
      <c r="Q20" s="286">
        <f t="shared" si="9"/>
        <v>0.49303011645553696</v>
      </c>
      <c r="R20" s="286">
        <f t="shared" si="10"/>
        <v>7.1330081835601495</v>
      </c>
      <c r="S20" s="286">
        <f t="shared" si="11"/>
        <v>0.713300818356015</v>
      </c>
      <c r="T20" s="281">
        <f t="shared" si="12"/>
        <v>1993845.8852980118</v>
      </c>
      <c r="U20" s="282">
        <f t="shared" si="0"/>
        <v>23287802.703237824</v>
      </c>
      <c r="V20" s="206" t="e">
        <f>#REF!+M20+G20</f>
        <v>#REF!</v>
      </c>
      <c r="W20" s="207"/>
      <c r="X20" s="208">
        <v>1.0641937928415424</v>
      </c>
      <c r="Y20" s="208">
        <f t="shared" si="1"/>
        <v>0</v>
      </c>
      <c r="AA20" s="207"/>
      <c r="AB20" s="228"/>
      <c r="AC20" s="207"/>
      <c r="AD20" s="207"/>
    </row>
    <row r="21" spans="2:30" s="24" customFormat="1" ht="27" customHeight="1" x14ac:dyDescent="0.25">
      <c r="B21" s="270" t="s">
        <v>13</v>
      </c>
      <c r="C21" s="283">
        <v>2.84</v>
      </c>
      <c r="D21" s="284">
        <v>27733395.65724</v>
      </c>
      <c r="E21" s="273">
        <v>33901</v>
      </c>
      <c r="F21" s="274">
        <f t="shared" si="2"/>
        <v>2.8704119215951907</v>
      </c>
      <c r="G21" s="275">
        <f t="shared" si="3"/>
        <v>1.7222471529571144</v>
      </c>
      <c r="H21" s="285">
        <v>4814091.4894741504</v>
      </c>
      <c r="I21" s="277">
        <v>2120104</v>
      </c>
      <c r="J21" s="278">
        <v>1819462</v>
      </c>
      <c r="K21" s="274">
        <f t="shared" si="4"/>
        <v>0.85819469233584766</v>
      </c>
      <c r="L21" s="274">
        <f t="shared" si="5"/>
        <v>3.4973114037381472</v>
      </c>
      <c r="M21" s="286">
        <f t="shared" si="6"/>
        <v>1.0491934211214442</v>
      </c>
      <c r="N21" s="287">
        <v>2932745.8087304994</v>
      </c>
      <c r="O21" s="288">
        <f t="shared" si="7"/>
        <v>7746837.2982046492</v>
      </c>
      <c r="P21" s="286">
        <f t="shared" si="8"/>
        <v>2.7714405740785586</v>
      </c>
      <c r="Q21" s="286">
        <f t="shared" si="9"/>
        <v>0.36082317959585963</v>
      </c>
      <c r="R21" s="286">
        <f t="shared" si="10"/>
        <v>5.220278857158962</v>
      </c>
      <c r="S21" s="286">
        <f t="shared" si="11"/>
        <v>0.5220278857158962</v>
      </c>
      <c r="T21" s="281">
        <f t="shared" si="12"/>
        <v>1459192.4264777249</v>
      </c>
      <c r="U21" s="282">
        <f t="shared" si="0"/>
        <v>36939425.381922372</v>
      </c>
      <c r="V21" s="206" t="e">
        <f>#REF!+M21+G21</f>
        <v>#REF!</v>
      </c>
      <c r="W21" s="207"/>
      <c r="X21" s="208">
        <v>0.85819469233584766</v>
      </c>
      <c r="Y21" s="208">
        <f t="shared" si="1"/>
        <v>0</v>
      </c>
      <c r="AA21" s="207"/>
      <c r="AB21" s="228"/>
      <c r="AC21" s="207"/>
      <c r="AD21" s="207"/>
    </row>
    <row r="22" spans="2:30" s="24" customFormat="1" ht="27" customHeight="1" x14ac:dyDescent="0.25">
      <c r="B22" s="270" t="s">
        <v>14</v>
      </c>
      <c r="C22" s="283">
        <v>3.33</v>
      </c>
      <c r="D22" s="284">
        <v>32518382.936130002</v>
      </c>
      <c r="E22" s="273">
        <v>24743</v>
      </c>
      <c r="F22" s="274">
        <f t="shared" si="2"/>
        <v>2.0950002116760511</v>
      </c>
      <c r="G22" s="275">
        <f t="shared" si="3"/>
        <v>1.2570001270056306</v>
      </c>
      <c r="H22" s="285">
        <v>3513615.1064587738</v>
      </c>
      <c r="I22" s="277">
        <v>6139057</v>
      </c>
      <c r="J22" s="278">
        <v>1893758</v>
      </c>
      <c r="K22" s="274">
        <f t="shared" si="4"/>
        <v>0.30847701853884074</v>
      </c>
      <c r="L22" s="274">
        <f t="shared" si="5"/>
        <v>1.2571042496087079</v>
      </c>
      <c r="M22" s="286">
        <f t="shared" si="6"/>
        <v>0.37713127488261239</v>
      </c>
      <c r="N22" s="287">
        <v>1054171.8461892148</v>
      </c>
      <c r="O22" s="288">
        <f t="shared" si="7"/>
        <v>4567786.9526479887</v>
      </c>
      <c r="P22" s="286">
        <f t="shared" si="8"/>
        <v>1.6341314018882429</v>
      </c>
      <c r="Q22" s="286">
        <f t="shared" si="9"/>
        <v>0.61194589299520075</v>
      </c>
      <c r="R22" s="286">
        <f t="shared" si="10"/>
        <v>8.8534450877189812</v>
      </c>
      <c r="S22" s="286">
        <f t="shared" si="11"/>
        <v>0.88534450877189819</v>
      </c>
      <c r="T22" s="281">
        <f t="shared" si="12"/>
        <v>2474749.0265810844</v>
      </c>
      <c r="U22" s="282">
        <f t="shared" si="0"/>
        <v>39560918.91535908</v>
      </c>
      <c r="V22" s="206" t="e">
        <f>#REF!+M22+G22</f>
        <v>#REF!</v>
      </c>
      <c r="W22" s="207"/>
      <c r="X22" s="208">
        <v>0.30847701853884074</v>
      </c>
      <c r="Y22" s="208">
        <f t="shared" si="1"/>
        <v>0</v>
      </c>
      <c r="AA22" s="207"/>
      <c r="AB22" s="228"/>
      <c r="AC22" s="207"/>
      <c r="AD22" s="207"/>
    </row>
    <row r="23" spans="2:30" s="24" customFormat="1" ht="27" customHeight="1" x14ac:dyDescent="0.25">
      <c r="B23" s="270" t="s">
        <v>15</v>
      </c>
      <c r="C23" s="283">
        <v>4.6900000000000004</v>
      </c>
      <c r="D23" s="284">
        <v>45799163.955090009</v>
      </c>
      <c r="E23" s="273">
        <v>43979</v>
      </c>
      <c r="F23" s="274">
        <f t="shared" si="2"/>
        <v>3.7237204182718768</v>
      </c>
      <c r="G23" s="275">
        <f t="shared" si="3"/>
        <v>2.2342322509631258</v>
      </c>
      <c r="H23" s="285">
        <v>6245211.929311336</v>
      </c>
      <c r="I23" s="277">
        <v>4353377</v>
      </c>
      <c r="J23" s="278">
        <v>4000518</v>
      </c>
      <c r="K23" s="274">
        <f t="shared" si="4"/>
        <v>0.9189459125639704</v>
      </c>
      <c r="L23" s="274">
        <f t="shared" si="5"/>
        <v>3.7448845211114654</v>
      </c>
      <c r="M23" s="286">
        <f t="shared" si="6"/>
        <v>1.1234653563334396</v>
      </c>
      <c r="N23" s="287">
        <v>3140353.578960761</v>
      </c>
      <c r="O23" s="288">
        <f t="shared" si="7"/>
        <v>9385565.5082720965</v>
      </c>
      <c r="P23" s="286">
        <f t="shared" si="8"/>
        <v>3.3576976072965654</v>
      </c>
      <c r="Q23" s="286">
        <f t="shared" si="9"/>
        <v>0.29782312672437034</v>
      </c>
      <c r="R23" s="286">
        <f t="shared" si="10"/>
        <v>4.3088134563682132</v>
      </c>
      <c r="S23" s="286">
        <f t="shared" si="11"/>
        <v>0.43088134563682134</v>
      </c>
      <c r="T23" s="281">
        <f t="shared" si="12"/>
        <v>1204416.1116058843</v>
      </c>
      <c r="U23" s="282">
        <f t="shared" si="0"/>
        <v>56389145.574967988</v>
      </c>
      <c r="V23" s="206" t="e">
        <f>#REF!+M23+G23</f>
        <v>#REF!</v>
      </c>
      <c r="W23" s="207"/>
      <c r="X23" s="208">
        <v>0.9189459125639704</v>
      </c>
      <c r="Y23" s="208">
        <f t="shared" si="1"/>
        <v>0</v>
      </c>
      <c r="AA23" s="207"/>
      <c r="AB23" s="228"/>
      <c r="AC23" s="207"/>
      <c r="AD23" s="207"/>
    </row>
    <row r="24" spans="2:30" s="24" customFormat="1" ht="27" customHeight="1" x14ac:dyDescent="0.25">
      <c r="B24" s="270" t="s">
        <v>16</v>
      </c>
      <c r="C24" s="283">
        <v>2.13</v>
      </c>
      <c r="D24" s="284">
        <v>20800046.742929999</v>
      </c>
      <c r="E24" s="273">
        <v>7499</v>
      </c>
      <c r="F24" s="274">
        <f t="shared" si="2"/>
        <v>0.63494348249439059</v>
      </c>
      <c r="G24" s="275">
        <f t="shared" si="3"/>
        <v>0.38096608949663435</v>
      </c>
      <c r="H24" s="285">
        <v>1064891.0675073494</v>
      </c>
      <c r="I24" s="277">
        <v>1276066</v>
      </c>
      <c r="J24" s="278">
        <v>1219342</v>
      </c>
      <c r="K24" s="274">
        <f t="shared" si="4"/>
        <v>0.95554775379956836</v>
      </c>
      <c r="L24" s="274">
        <f t="shared" si="5"/>
        <v>3.8940441906995584</v>
      </c>
      <c r="M24" s="286">
        <f t="shared" si="6"/>
        <v>1.1682132572098676</v>
      </c>
      <c r="N24" s="287">
        <v>3265434.6327521205</v>
      </c>
      <c r="O24" s="288">
        <f t="shared" si="7"/>
        <v>4330325.7002594694</v>
      </c>
      <c r="P24" s="286">
        <f t="shared" si="8"/>
        <v>1.5491793467065018</v>
      </c>
      <c r="Q24" s="286">
        <f t="shared" si="9"/>
        <v>0.64550305432741739</v>
      </c>
      <c r="R24" s="286">
        <f t="shared" si="10"/>
        <v>9.3389397835005834</v>
      </c>
      <c r="S24" s="286">
        <f t="shared" si="11"/>
        <v>0.93389397835005838</v>
      </c>
      <c r="T24" s="281">
        <f t="shared" si="12"/>
        <v>2610456.3714498542</v>
      </c>
      <c r="U24" s="282">
        <f t="shared" si="0"/>
        <v>27740828.814639322</v>
      </c>
      <c r="V24" s="206" t="e">
        <f>#REF!+M24+G24</f>
        <v>#REF!</v>
      </c>
      <c r="W24" s="207"/>
      <c r="X24" s="208">
        <v>0.95554775379956836</v>
      </c>
      <c r="Y24" s="208">
        <f t="shared" si="1"/>
        <v>0</v>
      </c>
      <c r="AA24" s="207"/>
      <c r="AB24" s="228"/>
      <c r="AC24" s="207"/>
      <c r="AD24" s="207"/>
    </row>
    <row r="25" spans="2:30" s="24" customFormat="1" ht="27" customHeight="1" x14ac:dyDescent="0.25">
      <c r="B25" s="270" t="s">
        <v>17</v>
      </c>
      <c r="C25" s="283">
        <v>2.81</v>
      </c>
      <c r="D25" s="284">
        <v>27440437.252410002</v>
      </c>
      <c r="E25" s="273">
        <v>23477</v>
      </c>
      <c r="F25" s="274">
        <f t="shared" si="2"/>
        <v>1.9878074594640365</v>
      </c>
      <c r="G25" s="275">
        <f t="shared" si="3"/>
        <v>1.1926844756784218</v>
      </c>
      <c r="H25" s="285">
        <v>3333837.5239191949</v>
      </c>
      <c r="I25" s="277">
        <v>2538386</v>
      </c>
      <c r="J25" s="278">
        <v>4314653</v>
      </c>
      <c r="K25" s="274">
        <f t="shared" si="4"/>
        <v>1.699762368686244</v>
      </c>
      <c r="L25" s="274">
        <f t="shared" si="5"/>
        <v>6.9268644618055912</v>
      </c>
      <c r="M25" s="286">
        <f t="shared" si="6"/>
        <v>2.0780593385416775</v>
      </c>
      <c r="N25" s="287">
        <v>5808671.3972026976</v>
      </c>
      <c r="O25" s="288">
        <f t="shared" si="7"/>
        <v>9142508.9211218916</v>
      </c>
      <c r="P25" s="286">
        <f t="shared" si="8"/>
        <v>3.2707438142200993</v>
      </c>
      <c r="Q25" s="286">
        <f t="shared" si="9"/>
        <v>0.30574085186749717</v>
      </c>
      <c r="R25" s="286">
        <f t="shared" si="10"/>
        <v>4.4233646700894491</v>
      </c>
      <c r="S25" s="286">
        <f t="shared" si="11"/>
        <v>0.44233646700894491</v>
      </c>
      <c r="T25" s="281">
        <f t="shared" si="12"/>
        <v>1236435.9074979427</v>
      </c>
      <c r="U25" s="282">
        <f t="shared" si="0"/>
        <v>37819382.08102984</v>
      </c>
      <c r="V25" s="206" t="e">
        <f>#REF!+M25+G25</f>
        <v>#REF!</v>
      </c>
      <c r="W25" s="207"/>
      <c r="X25" s="208">
        <v>1.699762368686244</v>
      </c>
      <c r="Y25" s="208">
        <f t="shared" si="1"/>
        <v>0</v>
      </c>
      <c r="AA25" s="207"/>
      <c r="AB25" s="228"/>
      <c r="AC25" s="207"/>
      <c r="AD25" s="207"/>
    </row>
    <row r="26" spans="2:30" s="24" customFormat="1" ht="27" customHeight="1" x14ac:dyDescent="0.25">
      <c r="B26" s="270" t="s">
        <v>23</v>
      </c>
      <c r="C26" s="283">
        <v>8.34</v>
      </c>
      <c r="D26" s="284">
        <v>81442436.542740002</v>
      </c>
      <c r="E26" s="273">
        <v>97820</v>
      </c>
      <c r="F26" s="274">
        <f t="shared" si="2"/>
        <v>8.2824605224164927</v>
      </c>
      <c r="G26" s="275">
        <f t="shared" si="3"/>
        <v>4.9694763134498956</v>
      </c>
      <c r="H26" s="285">
        <v>13890871.345988654</v>
      </c>
      <c r="I26" s="277">
        <v>12549885</v>
      </c>
      <c r="J26" s="278">
        <v>15229971</v>
      </c>
      <c r="K26" s="274">
        <f t="shared" si="4"/>
        <v>1.2135546261977699</v>
      </c>
      <c r="L26" s="274">
        <f t="shared" si="5"/>
        <v>4.9454727128511768</v>
      </c>
      <c r="M26" s="286">
        <f t="shared" si="6"/>
        <v>1.4836418138553531</v>
      </c>
      <c r="N26" s="287">
        <v>4147132.6674835845</v>
      </c>
      <c r="O26" s="288">
        <f t="shared" si="7"/>
        <v>18038004.013472237</v>
      </c>
      <c r="P26" s="286">
        <f t="shared" si="8"/>
        <v>6.4531181273052489</v>
      </c>
      <c r="Q26" s="286">
        <f t="shared" si="9"/>
        <v>0.15496384542670522</v>
      </c>
      <c r="R26" s="286">
        <f t="shared" si="10"/>
        <v>2.2419692848201964</v>
      </c>
      <c r="S26" s="286">
        <f t="shared" si="11"/>
        <v>0.22419692848201966</v>
      </c>
      <c r="T26" s="281">
        <f t="shared" si="12"/>
        <v>626683.87845199229</v>
      </c>
      <c r="U26" s="282">
        <f t="shared" si="0"/>
        <v>100107124.43466422</v>
      </c>
      <c r="V26" s="206" t="e">
        <f>#REF!+M26+G26</f>
        <v>#REF!</v>
      </c>
      <c r="W26" s="207"/>
      <c r="X26" s="208">
        <v>1.2135546261977699</v>
      </c>
      <c r="Y26" s="208">
        <f t="shared" si="1"/>
        <v>0</v>
      </c>
      <c r="AA26" s="207"/>
      <c r="AB26" s="228"/>
      <c r="AC26" s="207"/>
      <c r="AD26" s="207"/>
    </row>
    <row r="27" spans="2:30" s="24" customFormat="1" ht="27" customHeight="1" x14ac:dyDescent="0.25">
      <c r="B27" s="270" t="s">
        <v>18</v>
      </c>
      <c r="C27" s="283">
        <v>3.5</v>
      </c>
      <c r="D27" s="284">
        <v>34178480.563500002</v>
      </c>
      <c r="E27" s="273">
        <v>39718</v>
      </c>
      <c r="F27" s="274">
        <f t="shared" si="2"/>
        <v>3.3629397569958934</v>
      </c>
      <c r="G27" s="275">
        <f t="shared" si="3"/>
        <v>2.0177638541975358</v>
      </c>
      <c r="H27" s="285">
        <v>5640131.1400529267</v>
      </c>
      <c r="I27" s="277">
        <v>12319331</v>
      </c>
      <c r="J27" s="278">
        <v>11548623</v>
      </c>
      <c r="K27" s="274">
        <f t="shared" si="4"/>
        <v>0.93743913529070699</v>
      </c>
      <c r="L27" s="274">
        <f t="shared" si="5"/>
        <v>3.8202480246517254</v>
      </c>
      <c r="M27" s="286">
        <f t="shared" si="6"/>
        <v>1.1460744073955176</v>
      </c>
      <c r="N27" s="287">
        <v>3203551.268163587</v>
      </c>
      <c r="O27" s="288">
        <f t="shared" si="7"/>
        <v>8843682.4082165137</v>
      </c>
      <c r="P27" s="286">
        <f t="shared" si="8"/>
        <v>3.1638382615930531</v>
      </c>
      <c r="Q27" s="286">
        <f t="shared" si="9"/>
        <v>0.3160717828529202</v>
      </c>
      <c r="R27" s="286">
        <f t="shared" si="10"/>
        <v>4.5728294041965452</v>
      </c>
      <c r="S27" s="286">
        <f t="shared" si="11"/>
        <v>0.45728294041965456</v>
      </c>
      <c r="T27" s="281">
        <f t="shared" si="12"/>
        <v>1278214.8649066044</v>
      </c>
      <c r="U27" s="282">
        <f t="shared" si="0"/>
        <v>44300377.836623117</v>
      </c>
      <c r="V27" s="206" t="e">
        <f>#REF!+M27+G27</f>
        <v>#REF!</v>
      </c>
      <c r="W27" s="207"/>
      <c r="X27" s="208">
        <v>0.93743913529070699</v>
      </c>
      <c r="Y27" s="208">
        <f t="shared" si="1"/>
        <v>0</v>
      </c>
      <c r="AA27" s="207"/>
      <c r="AB27" s="228"/>
      <c r="AC27" s="207"/>
      <c r="AD27" s="207"/>
    </row>
    <row r="28" spans="2:30" s="24" customFormat="1" ht="27" customHeight="1" x14ac:dyDescent="0.25">
      <c r="B28" s="270" t="s">
        <v>19</v>
      </c>
      <c r="C28" s="283">
        <v>39</v>
      </c>
      <c r="D28" s="284">
        <v>380845926.27900004</v>
      </c>
      <c r="E28" s="273">
        <v>413608</v>
      </c>
      <c r="F28" s="274">
        <f t="shared" si="2"/>
        <v>35.020363236103471</v>
      </c>
      <c r="G28" s="275">
        <f t="shared" si="3"/>
        <v>21.012217941662083</v>
      </c>
      <c r="H28" s="285">
        <v>58734159.841256142</v>
      </c>
      <c r="I28" s="277">
        <v>236317850</v>
      </c>
      <c r="J28" s="278">
        <v>186622629</v>
      </c>
      <c r="K28" s="274">
        <f t="shared" si="4"/>
        <v>0.78971025252641724</v>
      </c>
      <c r="L28" s="274">
        <f t="shared" si="5"/>
        <v>3.2182239024250903</v>
      </c>
      <c r="M28" s="286">
        <f t="shared" si="6"/>
        <v>0.96546717072752708</v>
      </c>
      <c r="N28" s="287">
        <v>2698710.9730364061</v>
      </c>
      <c r="O28" s="288">
        <f t="shared" si="7"/>
        <v>61432870.81429255</v>
      </c>
      <c r="P28" s="286">
        <f t="shared" si="8"/>
        <v>21.977685112389612</v>
      </c>
      <c r="Q28" s="286">
        <f t="shared" si="9"/>
        <v>4.550069740676483E-2</v>
      </c>
      <c r="R28" s="286">
        <f t="shared" si="10"/>
        <v>0.65829010465614668</v>
      </c>
      <c r="S28" s="286">
        <f t="shared" si="11"/>
        <v>6.5829010465614665E-2</v>
      </c>
      <c r="T28" s="281">
        <f t="shared" si="12"/>
        <v>184007.78223220271</v>
      </c>
      <c r="U28" s="282">
        <f t="shared" si="0"/>
        <v>442462804.87552482</v>
      </c>
      <c r="V28" s="206" t="e">
        <f>#REF!+M28+G28</f>
        <v>#REF!</v>
      </c>
      <c r="W28" s="207"/>
      <c r="X28" s="208">
        <v>0.78971025252641724</v>
      </c>
      <c r="Y28" s="208">
        <f t="shared" si="1"/>
        <v>0</v>
      </c>
      <c r="AA28" s="207"/>
      <c r="AB28" s="228"/>
      <c r="AC28" s="207"/>
      <c r="AD28" s="207"/>
    </row>
    <row r="29" spans="2:30" s="24" customFormat="1" ht="27" customHeight="1" x14ac:dyDescent="0.25">
      <c r="B29" s="270" t="s">
        <v>20</v>
      </c>
      <c r="C29" s="283">
        <v>3.79</v>
      </c>
      <c r="D29" s="284">
        <v>37010411.810190007</v>
      </c>
      <c r="E29" s="273">
        <v>30565</v>
      </c>
      <c r="F29" s="274">
        <f t="shared" si="2"/>
        <v>2.5879513991786967</v>
      </c>
      <c r="G29" s="275">
        <f t="shared" si="3"/>
        <v>1.5527708395072179</v>
      </c>
      <c r="H29" s="285">
        <v>4340364.7790854955</v>
      </c>
      <c r="I29" s="277">
        <v>1516592</v>
      </c>
      <c r="J29" s="278">
        <v>1666341</v>
      </c>
      <c r="K29" s="274">
        <f t="shared" si="4"/>
        <v>1.0987404654646735</v>
      </c>
      <c r="L29" s="274">
        <f t="shared" si="5"/>
        <v>4.4775825275255574</v>
      </c>
      <c r="M29" s="286">
        <f t="shared" si="6"/>
        <v>1.3432747582576672</v>
      </c>
      <c r="N29" s="287">
        <v>3754773.2743528634</v>
      </c>
      <c r="O29" s="288">
        <f t="shared" si="7"/>
        <v>8095138.0534383589</v>
      </c>
      <c r="P29" s="286">
        <f t="shared" si="8"/>
        <v>2.8960455977648851</v>
      </c>
      <c r="Q29" s="286">
        <f t="shared" si="9"/>
        <v>0.34529843065032595</v>
      </c>
      <c r="R29" s="286">
        <f t="shared" si="10"/>
        <v>4.995671561214607</v>
      </c>
      <c r="S29" s="286">
        <f t="shared" si="11"/>
        <v>0.49956715612146074</v>
      </c>
      <c r="T29" s="281">
        <f t="shared" si="12"/>
        <v>1396409.3311409343</v>
      </c>
      <c r="U29" s="282">
        <f t="shared" si="0"/>
        <v>46501959.194769301</v>
      </c>
      <c r="V29" s="206" t="e">
        <f>#REF!+M29+G29</f>
        <v>#REF!</v>
      </c>
      <c r="W29" s="207"/>
      <c r="X29" s="208">
        <v>1.0987404654646735</v>
      </c>
      <c r="Y29" s="208">
        <f t="shared" si="1"/>
        <v>0</v>
      </c>
      <c r="AA29" s="207"/>
      <c r="AB29" s="228"/>
      <c r="AC29" s="207"/>
      <c r="AD29" s="207"/>
    </row>
    <row r="30" spans="2:30" s="24" customFormat="1" ht="27" customHeight="1" thickBot="1" x14ac:dyDescent="0.3">
      <c r="B30" s="289" t="s">
        <v>21</v>
      </c>
      <c r="C30" s="290">
        <v>3.1</v>
      </c>
      <c r="D30" s="291">
        <v>30272368.4991</v>
      </c>
      <c r="E30" s="292">
        <v>57418</v>
      </c>
      <c r="F30" s="293">
        <f t="shared" si="2"/>
        <v>4.8616061978747727</v>
      </c>
      <c r="G30" s="294">
        <f t="shared" si="3"/>
        <v>2.9169637187248636</v>
      </c>
      <c r="H30" s="295">
        <v>8153609.1897769021</v>
      </c>
      <c r="I30" s="296">
        <v>27689428</v>
      </c>
      <c r="J30" s="297">
        <v>28960943</v>
      </c>
      <c r="K30" s="293">
        <f t="shared" si="4"/>
        <v>1.0459205946760619</v>
      </c>
      <c r="L30" s="293">
        <f t="shared" si="5"/>
        <v>4.2623312120575108</v>
      </c>
      <c r="M30" s="298">
        <f t="shared" si="6"/>
        <v>1.2786993636172532</v>
      </c>
      <c r="N30" s="299">
        <v>3574269.6473129923</v>
      </c>
      <c r="O30" s="300">
        <f t="shared" si="7"/>
        <v>11727878.837089894</v>
      </c>
      <c r="P30" s="298">
        <f t="shared" si="8"/>
        <v>4.1956630823421168</v>
      </c>
      <c r="Q30" s="298">
        <f t="shared" si="9"/>
        <v>0.23834134923955255</v>
      </c>
      <c r="R30" s="298">
        <f t="shared" si="10"/>
        <v>3.4482493824691449</v>
      </c>
      <c r="S30" s="298">
        <f t="shared" si="11"/>
        <v>0.34482493824691451</v>
      </c>
      <c r="T30" s="301">
        <f t="shared" si="12"/>
        <v>963867.93142385001</v>
      </c>
      <c r="U30" s="302">
        <f t="shared" si="0"/>
        <v>42964115.267613746</v>
      </c>
      <c r="V30" s="206" t="e">
        <f>#REF!+M30+G30</f>
        <v>#REF!</v>
      </c>
      <c r="W30" s="207"/>
      <c r="X30" s="208">
        <v>1.0459205946760619</v>
      </c>
      <c r="Y30" s="208">
        <f t="shared" si="1"/>
        <v>0</v>
      </c>
      <c r="AA30" s="207"/>
      <c r="AB30" s="228"/>
      <c r="AC30" s="207"/>
      <c r="AD30" s="207"/>
    </row>
    <row r="31" spans="2:30" s="24" customFormat="1" ht="27" customHeight="1" thickBot="1" x14ac:dyDescent="0.3">
      <c r="B31" s="303" t="s">
        <v>294</v>
      </c>
      <c r="C31" s="304">
        <f>SUM(C11:C30)</f>
        <v>100</v>
      </c>
      <c r="D31" s="433">
        <f>SUM(D11:D30)</f>
        <v>976528016.0999999</v>
      </c>
      <c r="E31" s="305">
        <f>SUM(E11:E30)</f>
        <v>1181050</v>
      </c>
      <c r="F31" s="434">
        <f>SUM(F11:F30)</f>
        <v>100.00000000000001</v>
      </c>
      <c r="G31" s="435">
        <f t="shared" ref="G31:N31" si="13">SUM(G11:G30)</f>
        <v>59.999999999999993</v>
      </c>
      <c r="H31" s="436">
        <f t="shared" si="13"/>
        <v>167714307.94500002</v>
      </c>
      <c r="I31" s="437">
        <f>SUM(I11:I30)</f>
        <v>549299824.15999997</v>
      </c>
      <c r="J31" s="439">
        <f t="shared" si="13"/>
        <v>531897076</v>
      </c>
      <c r="K31" s="434">
        <f t="shared" si="13"/>
        <v>24.538698253136822</v>
      </c>
      <c r="L31" s="440">
        <f t="shared" si="13"/>
        <v>99.999999999999972</v>
      </c>
      <c r="M31" s="441">
        <f t="shared" si="13"/>
        <v>30.000000000000004</v>
      </c>
      <c r="N31" s="438">
        <f t="shared" si="13"/>
        <v>83857153.972500011</v>
      </c>
      <c r="O31" s="442">
        <f t="shared" si="7"/>
        <v>251571461.91750002</v>
      </c>
      <c r="P31" s="440">
        <f t="shared" ref="P31:U31" si="14">SUM(P11:P30)</f>
        <v>90</v>
      </c>
      <c r="Q31" s="440">
        <f t="shared" si="14"/>
        <v>6.9119522054082534</v>
      </c>
      <c r="R31" s="440">
        <f t="shared" si="14"/>
        <v>99.999999999999986</v>
      </c>
      <c r="S31" s="440">
        <f t="shared" si="14"/>
        <v>10</v>
      </c>
      <c r="T31" s="307">
        <v>27952384.66</v>
      </c>
      <c r="U31" s="306">
        <f t="shared" si="14"/>
        <v>1256051862.6775</v>
      </c>
      <c r="V31" s="206" t="e">
        <f>#REF!+M31+G31</f>
        <v>#REF!</v>
      </c>
      <c r="W31" s="207"/>
      <c r="X31" s="208">
        <f>SUM(X11:X30)</f>
        <v>24.538698253136822</v>
      </c>
      <c r="Y31" s="208"/>
      <c r="AA31" s="207"/>
      <c r="AB31" s="228"/>
      <c r="AC31" s="207"/>
      <c r="AD31" s="207"/>
    </row>
    <row r="32" spans="2:30" s="24" customFormat="1" ht="27" customHeight="1" x14ac:dyDescent="0.25">
      <c r="B32" s="488" t="s">
        <v>265</v>
      </c>
      <c r="C32" s="471"/>
      <c r="D32" s="472"/>
      <c r="E32" s="473"/>
      <c r="F32" s="474"/>
      <c r="G32" s="475"/>
      <c r="H32" s="476"/>
      <c r="I32" s="476"/>
      <c r="J32" s="476"/>
      <c r="K32" s="474"/>
      <c r="L32" s="477"/>
      <c r="M32" s="475"/>
      <c r="N32" s="473"/>
      <c r="O32" s="478"/>
      <c r="P32" s="477"/>
      <c r="Q32" s="477"/>
      <c r="R32" s="477"/>
      <c r="S32" s="477"/>
      <c r="T32" s="473"/>
      <c r="U32" s="478"/>
      <c r="V32" s="479"/>
      <c r="W32" s="207"/>
      <c r="X32" s="208"/>
      <c r="Y32" s="208"/>
      <c r="AA32" s="207"/>
      <c r="AB32" s="228"/>
      <c r="AC32" s="207"/>
      <c r="AD32" s="207"/>
    </row>
    <row r="33" spans="2:25" s="24" customFormat="1" ht="21.75" customHeight="1" x14ac:dyDescent="0.25">
      <c r="B33" s="23"/>
      <c r="C33" s="482" t="s">
        <v>201</v>
      </c>
      <c r="D33" s="23"/>
      <c r="E33" s="23"/>
      <c r="F33" s="23"/>
      <c r="G33" s="23"/>
      <c r="H33" s="99"/>
      <c r="I33" s="254"/>
      <c r="J33" s="99"/>
      <c r="K33" s="483"/>
      <c r="L33" s="483"/>
      <c r="M33" s="483"/>
      <c r="N33" s="483"/>
      <c r="Y33" s="208"/>
    </row>
    <row r="34" spans="2:25" s="24" customFormat="1" ht="18" customHeight="1" x14ac:dyDescent="0.25">
      <c r="B34" s="23"/>
      <c r="C34" s="659" t="s">
        <v>266</v>
      </c>
      <c r="D34" s="659"/>
      <c r="E34" s="659"/>
      <c r="F34" s="659"/>
      <c r="G34" s="659"/>
      <c r="H34" s="659"/>
      <c r="I34" s="659"/>
      <c r="J34" s="659"/>
      <c r="K34" s="659"/>
      <c r="L34" s="659"/>
      <c r="M34" s="659"/>
      <c r="N34" s="659"/>
      <c r="O34" s="659"/>
      <c r="P34" s="659"/>
      <c r="Q34" s="659"/>
      <c r="R34" s="659"/>
      <c r="S34" s="659"/>
      <c r="T34" s="659"/>
      <c r="U34" s="659"/>
      <c r="Y34" s="208"/>
    </row>
    <row r="35" spans="2:25" ht="25.5" customHeight="1" x14ac:dyDescent="0.25">
      <c r="C35" s="640" t="s">
        <v>216</v>
      </c>
      <c r="D35" s="640"/>
      <c r="E35" s="640"/>
      <c r="F35" s="640"/>
      <c r="G35" s="640"/>
      <c r="H35" s="640"/>
      <c r="I35" s="640"/>
      <c r="J35" s="640"/>
      <c r="K35" s="193"/>
      <c r="L35" s="193"/>
      <c r="M35" s="193"/>
      <c r="N35" s="193"/>
    </row>
    <row r="36" spans="2:25" ht="15" customHeight="1" x14ac:dyDescent="0.25">
      <c r="C36" s="639" t="s">
        <v>267</v>
      </c>
      <c r="D36" s="639"/>
      <c r="E36" s="639"/>
      <c r="F36" s="639"/>
      <c r="G36" s="639"/>
      <c r="H36" s="639"/>
      <c r="I36" s="639"/>
      <c r="J36" s="639"/>
      <c r="K36" s="639"/>
      <c r="L36" s="639"/>
      <c r="M36" s="639"/>
      <c r="N36" s="639"/>
      <c r="O36" s="639"/>
      <c r="P36" s="639"/>
      <c r="Q36" s="639"/>
      <c r="R36" s="639"/>
      <c r="S36" s="639"/>
      <c r="T36" s="639"/>
      <c r="U36" s="639"/>
    </row>
    <row r="37" spans="2:25" ht="15" customHeight="1" x14ac:dyDescent="0.25">
      <c r="C37" s="485"/>
      <c r="D37" s="485"/>
      <c r="E37" s="485"/>
      <c r="F37" s="485"/>
      <c r="G37" s="485"/>
      <c r="H37" s="485"/>
      <c r="I37" s="485"/>
      <c r="J37" s="485"/>
      <c r="K37" s="485"/>
      <c r="L37" s="485"/>
      <c r="M37" s="485"/>
      <c r="N37" s="485"/>
      <c r="O37" s="485"/>
      <c r="P37" s="485"/>
      <c r="Q37" s="485"/>
      <c r="R37" s="485"/>
      <c r="S37" s="485"/>
      <c r="T37" s="485"/>
      <c r="U37" s="485"/>
    </row>
    <row r="38" spans="2:25" x14ac:dyDescent="0.25">
      <c r="C38" s="193" t="s">
        <v>268</v>
      </c>
      <c r="D38" s="193"/>
      <c r="E38" s="193"/>
      <c r="F38" s="193"/>
      <c r="G38" s="193"/>
      <c r="H38" s="484"/>
      <c r="I38" s="484"/>
      <c r="J38" s="484"/>
      <c r="K38" s="193"/>
      <c r="L38" s="193"/>
      <c r="M38" s="193"/>
      <c r="N38" s="193"/>
    </row>
    <row r="39" spans="2:25" x14ac:dyDescent="0.25">
      <c r="C39" s="489" t="s">
        <v>276</v>
      </c>
      <c r="D39" s="489"/>
      <c r="E39" s="489"/>
      <c r="F39" s="489"/>
      <c r="G39" s="489"/>
      <c r="H39" s="490"/>
      <c r="I39" s="490"/>
      <c r="J39" s="490"/>
      <c r="K39" s="489"/>
      <c r="L39" s="489"/>
      <c r="M39" s="489"/>
      <c r="N39" s="489"/>
    </row>
  </sheetData>
  <mergeCells count="23">
    <mergeCell ref="B3:U3"/>
    <mergeCell ref="B4:U4"/>
    <mergeCell ref="B6:B10"/>
    <mergeCell ref="C6:C8"/>
    <mergeCell ref="E6:H6"/>
    <mergeCell ref="I6:N6"/>
    <mergeCell ref="O6:T6"/>
    <mergeCell ref="U6:U10"/>
    <mergeCell ref="S7:S9"/>
    <mergeCell ref="T7:T10"/>
    <mergeCell ref="H7:H8"/>
    <mergeCell ref="N7:N9"/>
    <mergeCell ref="C36:U36"/>
    <mergeCell ref="C35:J35"/>
    <mergeCell ref="V6:V10"/>
    <mergeCell ref="F7:F8"/>
    <mergeCell ref="I7:K8"/>
    <mergeCell ref="L7:L9"/>
    <mergeCell ref="O7:O10"/>
    <mergeCell ref="P7:P10"/>
    <mergeCell ref="Q7:Q10"/>
    <mergeCell ref="R7:R10"/>
    <mergeCell ref="C34:U34"/>
  </mergeCells>
  <pageMargins left="0.64" right="0.59055118110236227" top="0.74803149606299213" bottom="0.74803149606299213" header="0.31496062992125984" footer="0.31496062992125984"/>
  <pageSetup paperSize="5"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AH44"/>
  <sheetViews>
    <sheetView zoomScale="106" zoomScaleNormal="106" workbookViewId="0">
      <selection activeCell="E21" sqref="E21"/>
    </sheetView>
  </sheetViews>
  <sheetFormatPr baseColWidth="10" defaultRowHeight="15" x14ac:dyDescent="0.25"/>
  <cols>
    <col min="1" max="1" width="3.7109375" customWidth="1"/>
    <col min="2" max="2" width="3.5703125" style="28" customWidth="1"/>
    <col min="3" max="3" width="26.42578125" customWidth="1"/>
    <col min="4" max="4" width="15.42578125" style="11" customWidth="1"/>
    <col min="5" max="5" width="16.5703125" customWidth="1"/>
    <col min="6" max="6" width="16.5703125" bestFit="1" customWidth="1"/>
    <col min="7" max="7" width="13.140625" customWidth="1"/>
    <col min="8" max="8" width="16.5703125" style="24" bestFit="1" customWidth="1"/>
    <col min="9" max="9" width="16.5703125" customWidth="1"/>
    <col min="10" max="10" width="16.140625" customWidth="1"/>
    <col min="11" max="12" width="18.140625" style="24" customWidth="1"/>
    <col min="13" max="13" width="15.5703125" customWidth="1"/>
    <col min="14" max="14" width="13" bestFit="1" customWidth="1"/>
    <col min="15" max="15" width="18.140625" style="24" customWidth="1"/>
    <col min="16" max="16" width="20" hidden="1" customWidth="1"/>
    <col min="17" max="17" width="17.7109375" customWidth="1"/>
    <col min="18" max="18" width="0" hidden="1" customWidth="1"/>
    <col min="19" max="19" width="16.28515625" hidden="1" customWidth="1"/>
    <col min="20" max="20" width="14.5703125" hidden="1" customWidth="1"/>
    <col min="21" max="21" width="14.28515625" hidden="1" customWidth="1"/>
    <col min="22" max="22" width="18" hidden="1" customWidth="1"/>
    <col min="23" max="30" width="0" hidden="1" customWidth="1"/>
  </cols>
  <sheetData>
    <row r="1" spans="2:34" x14ac:dyDescent="0.25">
      <c r="R1" t="s">
        <v>188</v>
      </c>
    </row>
    <row r="2" spans="2:34" x14ac:dyDescent="0.25">
      <c r="C2" s="1"/>
      <c r="D2" s="10"/>
      <c r="E2" s="1"/>
      <c r="F2" s="1"/>
      <c r="G2" s="1"/>
      <c r="H2" s="23"/>
      <c r="I2" s="1"/>
      <c r="J2" s="1"/>
      <c r="K2" s="23"/>
      <c r="L2" s="23"/>
      <c r="M2" s="1"/>
      <c r="N2" s="1"/>
      <c r="O2" s="23"/>
      <c r="P2" s="1"/>
      <c r="Q2" s="117"/>
    </row>
    <row r="3" spans="2:34" x14ac:dyDescent="0.25">
      <c r="B3" s="681" t="s">
        <v>311</v>
      </c>
      <c r="C3" s="681"/>
      <c r="D3" s="681"/>
      <c r="E3" s="681"/>
      <c r="F3" s="681"/>
      <c r="G3" s="681"/>
      <c r="H3" s="681"/>
      <c r="I3" s="681"/>
      <c r="J3" s="681"/>
      <c r="K3" s="681"/>
      <c r="L3" s="681"/>
      <c r="M3" s="681"/>
      <c r="N3" s="681"/>
      <c r="O3" s="681"/>
      <c r="P3" s="681"/>
      <c r="Q3" s="681"/>
    </row>
    <row r="4" spans="2:34" ht="15.75" thickBot="1" x14ac:dyDescent="0.3">
      <c r="C4" s="684"/>
      <c r="D4" s="684"/>
      <c r="E4" s="684"/>
      <c r="F4" s="684"/>
      <c r="G4" s="684"/>
      <c r="H4" s="684"/>
      <c r="I4" s="684"/>
      <c r="J4" s="684"/>
      <c r="K4" s="684"/>
      <c r="L4" s="684"/>
      <c r="M4" s="684"/>
      <c r="N4" s="684"/>
      <c r="O4" s="684"/>
      <c r="P4" s="684"/>
    </row>
    <row r="5" spans="2:34" ht="15" customHeight="1" thickBot="1" x14ac:dyDescent="0.3">
      <c r="B5" s="682" t="s">
        <v>312</v>
      </c>
      <c r="C5" s="625" t="s">
        <v>26</v>
      </c>
      <c r="D5" s="625">
        <v>2014</v>
      </c>
      <c r="E5" s="679"/>
      <c r="F5" s="625" t="s">
        <v>192</v>
      </c>
      <c r="G5" s="677"/>
      <c r="H5" s="677"/>
      <c r="I5" s="625" t="s">
        <v>193</v>
      </c>
      <c r="J5" s="677"/>
      <c r="K5" s="677"/>
      <c r="L5" s="679"/>
      <c r="M5" s="677" t="s">
        <v>196</v>
      </c>
      <c r="N5" s="677"/>
      <c r="O5" s="677"/>
      <c r="P5" s="509"/>
      <c r="Q5" s="61" t="s">
        <v>29</v>
      </c>
    </row>
    <row r="6" spans="2:34" ht="15" customHeight="1" thickBot="1" x14ac:dyDescent="0.3">
      <c r="B6" s="683"/>
      <c r="C6" s="626"/>
      <c r="D6" s="627"/>
      <c r="E6" s="680"/>
      <c r="F6" s="627"/>
      <c r="G6" s="678"/>
      <c r="H6" s="678"/>
      <c r="I6" s="627"/>
      <c r="J6" s="678"/>
      <c r="K6" s="678"/>
      <c r="L6" s="680"/>
      <c r="M6" s="678"/>
      <c r="N6" s="678"/>
      <c r="O6" s="678"/>
      <c r="P6" s="321"/>
      <c r="Q6" s="62" t="s">
        <v>307</v>
      </c>
    </row>
    <row r="7" spans="2:34" ht="15" customHeight="1" x14ac:dyDescent="0.25">
      <c r="B7" s="683"/>
      <c r="C7" s="626"/>
      <c r="D7" s="493" t="s">
        <v>295</v>
      </c>
      <c r="E7" s="61" t="s">
        <v>83</v>
      </c>
      <c r="F7" s="367" t="s">
        <v>284</v>
      </c>
      <c r="G7" s="368" t="s">
        <v>286</v>
      </c>
      <c r="H7" s="495" t="s">
        <v>296</v>
      </c>
      <c r="I7" s="685" t="s">
        <v>301</v>
      </c>
      <c r="J7" s="686"/>
      <c r="K7" s="496" t="s">
        <v>302</v>
      </c>
      <c r="L7" s="642" t="s">
        <v>304</v>
      </c>
      <c r="M7" s="685" t="s">
        <v>305</v>
      </c>
      <c r="N7" s="686"/>
      <c r="O7" s="465" t="s">
        <v>296</v>
      </c>
      <c r="P7" s="22" t="s">
        <v>80</v>
      </c>
      <c r="Q7" s="62" t="s">
        <v>308</v>
      </c>
    </row>
    <row r="8" spans="2:34" ht="15.75" thickBot="1" x14ac:dyDescent="0.3">
      <c r="B8" s="683"/>
      <c r="C8" s="626"/>
      <c r="D8" s="494"/>
      <c r="E8" s="62"/>
      <c r="F8" s="367" t="s">
        <v>298</v>
      </c>
      <c r="G8" s="324" t="s">
        <v>60</v>
      </c>
      <c r="H8" s="360" t="s">
        <v>300</v>
      </c>
      <c r="I8" s="687">
        <v>2016</v>
      </c>
      <c r="J8" s="688"/>
      <c r="K8" s="360" t="s">
        <v>303</v>
      </c>
      <c r="L8" s="672"/>
      <c r="M8" s="689">
        <v>2016</v>
      </c>
      <c r="N8" s="690"/>
      <c r="O8" s="72" t="s">
        <v>306</v>
      </c>
      <c r="P8" s="19" t="s">
        <v>81</v>
      </c>
      <c r="Q8" s="62" t="s">
        <v>309</v>
      </c>
    </row>
    <row r="9" spans="2:34" x14ac:dyDescent="0.25">
      <c r="B9" s="683"/>
      <c r="C9" s="626"/>
      <c r="D9" s="497" t="s">
        <v>296</v>
      </c>
      <c r="E9" s="63" t="s">
        <v>297</v>
      </c>
      <c r="F9" s="37" t="s">
        <v>299</v>
      </c>
      <c r="G9" s="90"/>
      <c r="H9" s="75" t="s">
        <v>79</v>
      </c>
      <c r="I9" s="367" t="s">
        <v>284</v>
      </c>
      <c r="J9" s="324" t="s">
        <v>286</v>
      </c>
      <c r="K9" s="75" t="s">
        <v>79</v>
      </c>
      <c r="L9" s="672"/>
      <c r="M9" s="367" t="s">
        <v>284</v>
      </c>
      <c r="N9" s="324" t="s">
        <v>286</v>
      </c>
      <c r="O9" s="75" t="s">
        <v>59</v>
      </c>
      <c r="P9" s="27" t="s">
        <v>82</v>
      </c>
      <c r="Q9" s="62">
        <v>2018</v>
      </c>
    </row>
    <row r="10" spans="2:34" ht="15.75" thickBot="1" x14ac:dyDescent="0.3">
      <c r="B10" s="683"/>
      <c r="C10" s="627"/>
      <c r="D10" s="64" t="s">
        <v>1</v>
      </c>
      <c r="E10" s="64" t="s">
        <v>2</v>
      </c>
      <c r="F10" s="323" t="s">
        <v>25</v>
      </c>
      <c r="G10" s="498" t="s">
        <v>24</v>
      </c>
      <c r="H10" s="86" t="s">
        <v>84</v>
      </c>
      <c r="I10" s="66" t="s">
        <v>71</v>
      </c>
      <c r="J10" s="64" t="s">
        <v>76</v>
      </c>
      <c r="K10" s="86" t="s">
        <v>85</v>
      </c>
      <c r="L10" s="86" t="s">
        <v>77</v>
      </c>
      <c r="M10" s="64" t="s">
        <v>78</v>
      </c>
      <c r="N10" s="323" t="s">
        <v>195</v>
      </c>
      <c r="O10" s="86" t="s">
        <v>202</v>
      </c>
      <c r="P10" s="322" t="s">
        <v>203</v>
      </c>
      <c r="Q10" s="507" t="s">
        <v>204</v>
      </c>
      <c r="S10" t="s">
        <v>185</v>
      </c>
      <c r="T10" t="s">
        <v>186</v>
      </c>
      <c r="U10" t="s">
        <v>187</v>
      </c>
      <c r="V10" t="s">
        <v>185</v>
      </c>
      <c r="W10" t="s">
        <v>186</v>
      </c>
      <c r="X10" t="s">
        <v>187</v>
      </c>
      <c r="Y10" s="117" t="s">
        <v>182</v>
      </c>
      <c r="Z10" s="117" t="s">
        <v>189</v>
      </c>
      <c r="AA10" s="117" t="s">
        <v>190</v>
      </c>
      <c r="AB10" s="117" t="s">
        <v>189</v>
      </c>
    </row>
    <row r="11" spans="2:34" ht="25.5" customHeight="1" x14ac:dyDescent="0.25">
      <c r="B11" s="499" t="s">
        <v>74</v>
      </c>
      <c r="C11" s="311" t="s">
        <v>3</v>
      </c>
      <c r="D11" s="310">
        <v>3.62</v>
      </c>
      <c r="E11" s="70">
        <v>15655542.292800002</v>
      </c>
      <c r="F11" s="308">
        <f>CENSO!C10</f>
        <v>37309</v>
      </c>
      <c r="G11" s="240">
        <f t="shared" ref="G11:G31" si="0">F11/F$31*100</f>
        <v>3.1589687142796663</v>
      </c>
      <c r="H11" s="219">
        <v>550459.52739033056</v>
      </c>
      <c r="I11" s="70">
        <v>9587479</v>
      </c>
      <c r="J11" s="446">
        <f>I11/I$31*100</f>
        <v>1.8025064307742125</v>
      </c>
      <c r="K11" s="70">
        <v>314092.01158494398</v>
      </c>
      <c r="L11" s="70">
        <f>H11+K11</f>
        <v>864551.53897527454</v>
      </c>
      <c r="M11" s="70">
        <v>0</v>
      </c>
      <c r="N11" s="73">
        <v>0</v>
      </c>
      <c r="O11" s="70">
        <f>$O$31*N11/100</f>
        <v>0</v>
      </c>
      <c r="P11" s="212">
        <f>H11+K11+O11</f>
        <v>864551.53897527454</v>
      </c>
      <c r="Q11" s="70">
        <f>E11+L11+O11</f>
        <v>16520093.831775276</v>
      </c>
      <c r="R11" s="104">
        <f t="shared" ref="R11:R30" si="1">G11+J11</f>
        <v>4.9614751450538783</v>
      </c>
      <c r="S11" s="104">
        <f>R11/2</f>
        <v>2.4807375725269392</v>
      </c>
      <c r="T11" s="104">
        <f>2.480738</f>
        <v>2.4807380000000001</v>
      </c>
      <c r="U11" s="35">
        <f>S11-T11</f>
        <v>-4.274730609488131E-7</v>
      </c>
      <c r="V11" s="104">
        <f>N11</f>
        <v>0</v>
      </c>
      <c r="X11" s="104">
        <f>V11-W11</f>
        <v>0</v>
      </c>
      <c r="Y11" s="117">
        <v>3.3898570000000001</v>
      </c>
      <c r="Z11" s="229">
        <f>S11-Y11</f>
        <v>-0.90911942747306096</v>
      </c>
      <c r="AA11" s="117"/>
      <c r="AB11" s="117"/>
      <c r="AG11" s="104"/>
      <c r="AH11" s="104"/>
    </row>
    <row r="12" spans="2:34" ht="25.5" customHeight="1" x14ac:dyDescent="0.25">
      <c r="B12" s="499" t="s">
        <v>74</v>
      </c>
      <c r="C12" s="311" t="s">
        <v>4</v>
      </c>
      <c r="D12" s="310">
        <v>2.4700000000000002</v>
      </c>
      <c r="E12" s="70">
        <v>10682096.536800001</v>
      </c>
      <c r="F12" s="308">
        <f>CENSO!C11</f>
        <v>15953</v>
      </c>
      <c r="G12" s="240">
        <f t="shared" si="0"/>
        <v>1.3507472164599297</v>
      </c>
      <c r="H12" s="219">
        <v>235371.64867613564</v>
      </c>
      <c r="I12" s="70">
        <v>4153474</v>
      </c>
      <c r="J12" s="444">
        <f t="shared" ref="J12:J30" si="2">I12/I$31*100</f>
        <v>0.78087926920658612</v>
      </c>
      <c r="K12" s="70">
        <v>136070.49399803262</v>
      </c>
      <c r="L12" s="70">
        <f t="shared" ref="L12:L30" si="3">H12+K12</f>
        <v>371442.14267416822</v>
      </c>
      <c r="M12" s="70">
        <v>0</v>
      </c>
      <c r="N12" s="73">
        <v>0</v>
      </c>
      <c r="O12" s="70">
        <f t="shared" ref="O12:O30" si="4">$O$31*N12/100</f>
        <v>0</v>
      </c>
      <c r="P12" s="212">
        <f t="shared" ref="P12:P30" si="5">H12+K12+O12</f>
        <v>371442.14267416822</v>
      </c>
      <c r="Q12" s="70">
        <f t="shared" ref="Q12:Q30" si="6">E12+L12+O12</f>
        <v>11053538.679474169</v>
      </c>
      <c r="R12" s="104">
        <f t="shared" si="1"/>
        <v>2.1316264856665157</v>
      </c>
      <c r="S12" s="104">
        <f t="shared" ref="S12:S31" si="7">R12/2</f>
        <v>1.0658132428332578</v>
      </c>
      <c r="T12" s="104">
        <v>1.0658129999999999</v>
      </c>
      <c r="U12" s="35">
        <f t="shared" ref="U12:U30" si="8">S12-T12</f>
        <v>2.4283325794627331E-7</v>
      </c>
      <c r="V12" s="104">
        <f t="shared" ref="V12:V30" si="9">N12</f>
        <v>0</v>
      </c>
      <c r="X12" s="104">
        <f t="shared" ref="X12:X30" si="10">V12-W12</f>
        <v>0</v>
      </c>
      <c r="Y12" s="117">
        <v>1.4561059999999999</v>
      </c>
      <c r="Z12" s="229">
        <f t="shared" ref="Z12:Z30" si="11">S12-Y12</f>
        <v>-0.39029275716674205</v>
      </c>
      <c r="AA12" s="117"/>
      <c r="AB12" s="117"/>
      <c r="AG12" s="104"/>
      <c r="AH12" s="104"/>
    </row>
    <row r="13" spans="2:34" ht="25.5" customHeight="1" x14ac:dyDescent="0.25">
      <c r="B13" s="499" t="s">
        <v>74</v>
      </c>
      <c r="C13" s="311" t="s">
        <v>5</v>
      </c>
      <c r="D13" s="310">
        <v>2.33</v>
      </c>
      <c r="E13" s="70">
        <v>10076633.575200001</v>
      </c>
      <c r="F13" s="308">
        <f>CENSO!C12</f>
        <v>11851</v>
      </c>
      <c r="G13" s="240">
        <f t="shared" si="0"/>
        <v>1.0034291520257399</v>
      </c>
      <c r="H13" s="219">
        <v>174850.4612587528</v>
      </c>
      <c r="I13" s="70">
        <v>3784530</v>
      </c>
      <c r="J13" s="444">
        <f t="shared" si="2"/>
        <v>0.71151547371920498</v>
      </c>
      <c r="K13" s="70">
        <v>123983.64998802793</v>
      </c>
      <c r="L13" s="70">
        <f t="shared" si="3"/>
        <v>298834.11124678073</v>
      </c>
      <c r="M13" s="70">
        <v>0</v>
      </c>
      <c r="N13" s="73">
        <v>0</v>
      </c>
      <c r="O13" s="70">
        <f t="shared" si="4"/>
        <v>0</v>
      </c>
      <c r="P13" s="212">
        <f t="shared" si="5"/>
        <v>298834.11124678073</v>
      </c>
      <c r="Q13" s="70">
        <f t="shared" si="6"/>
        <v>10375467.686446782</v>
      </c>
      <c r="R13" s="104">
        <f t="shared" si="1"/>
        <v>1.7149446257449448</v>
      </c>
      <c r="S13" s="104">
        <f t="shared" si="7"/>
        <v>0.85747231287247239</v>
      </c>
      <c r="T13" s="104">
        <v>0.85747200000000001</v>
      </c>
      <c r="U13" s="35">
        <f t="shared" si="8"/>
        <v>3.1287247237443694E-7</v>
      </c>
      <c r="V13" s="104">
        <f t="shared" si="9"/>
        <v>0</v>
      </c>
      <c r="X13" s="104">
        <f t="shared" si="10"/>
        <v>0</v>
      </c>
      <c r="Y13" s="117">
        <v>1.167629</v>
      </c>
      <c r="Z13" s="229">
        <f t="shared" si="11"/>
        <v>-0.31015668712752764</v>
      </c>
      <c r="AA13" s="117"/>
      <c r="AB13" s="117"/>
      <c r="AG13" s="104"/>
      <c r="AH13" s="104"/>
    </row>
    <row r="14" spans="2:34" ht="25.5" customHeight="1" x14ac:dyDescent="0.25">
      <c r="B14" s="499" t="s">
        <v>74</v>
      </c>
      <c r="C14" s="311" t="s">
        <v>6</v>
      </c>
      <c r="D14" s="310">
        <v>2.81</v>
      </c>
      <c r="E14" s="70">
        <v>12152506.5864</v>
      </c>
      <c r="F14" s="308">
        <f>CENSO!C13</f>
        <v>150250</v>
      </c>
      <c r="G14" s="240">
        <f t="shared" si="0"/>
        <v>12.721730663392744</v>
      </c>
      <c r="H14" s="219">
        <v>2216798.7346323184</v>
      </c>
      <c r="I14" s="70">
        <v>214394286</v>
      </c>
      <c r="J14" s="444">
        <f t="shared" si="2"/>
        <v>40.307475952358871</v>
      </c>
      <c r="K14" s="70">
        <v>7023695.4429895282</v>
      </c>
      <c r="L14" s="70">
        <f t="shared" si="3"/>
        <v>9240494.177621847</v>
      </c>
      <c r="M14" s="70">
        <v>0</v>
      </c>
      <c r="N14" s="73">
        <v>0</v>
      </c>
      <c r="O14" s="70">
        <f t="shared" si="4"/>
        <v>0</v>
      </c>
      <c r="P14" s="212">
        <f t="shared" si="5"/>
        <v>9240494.177621847</v>
      </c>
      <c r="Q14" s="70">
        <f t="shared" si="6"/>
        <v>21393000.764021847</v>
      </c>
      <c r="R14" s="104">
        <f t="shared" si="1"/>
        <v>53.029206615751619</v>
      </c>
      <c r="S14" s="104">
        <f t="shared" si="7"/>
        <v>26.514603307875809</v>
      </c>
      <c r="T14" s="104">
        <v>26.514603000000001</v>
      </c>
      <c r="U14" s="35">
        <f t="shared" si="8"/>
        <v>3.0787580840296869E-7</v>
      </c>
      <c r="V14" s="104">
        <f t="shared" si="9"/>
        <v>0</v>
      </c>
      <c r="X14" s="104">
        <f t="shared" si="10"/>
        <v>0</v>
      </c>
      <c r="Y14" s="117">
        <v>39.874909000000002</v>
      </c>
      <c r="Z14" s="229">
        <f t="shared" si="11"/>
        <v>-13.360305692124193</v>
      </c>
      <c r="AA14" s="117"/>
      <c r="AB14" s="117"/>
      <c r="AG14" s="104"/>
      <c r="AH14" s="104"/>
    </row>
    <row r="15" spans="2:34" ht="25.5" customHeight="1" x14ac:dyDescent="0.25">
      <c r="B15" s="499" t="s">
        <v>74</v>
      </c>
      <c r="C15" s="311" t="s">
        <v>7</v>
      </c>
      <c r="D15" s="310">
        <v>4.6399999999999997</v>
      </c>
      <c r="E15" s="70">
        <v>20066772.441599999</v>
      </c>
      <c r="F15" s="308">
        <f>CENSO!C14</f>
        <v>75520</v>
      </c>
      <c r="G15" s="240">
        <f t="shared" si="0"/>
        <v>6.3943101477498834</v>
      </c>
      <c r="H15" s="219">
        <v>1114227.2242225138</v>
      </c>
      <c r="I15" s="70">
        <v>23134391</v>
      </c>
      <c r="J15" s="444">
        <f t="shared" si="2"/>
        <v>4.3494112007489205</v>
      </c>
      <c r="K15" s="70">
        <v>757897.60853532236</v>
      </c>
      <c r="L15" s="70">
        <f t="shared" si="3"/>
        <v>1872124.8327578362</v>
      </c>
      <c r="M15" s="70">
        <v>0</v>
      </c>
      <c r="N15" s="73">
        <v>0</v>
      </c>
      <c r="O15" s="70">
        <f t="shared" si="4"/>
        <v>0</v>
      </c>
      <c r="P15" s="212">
        <f t="shared" si="5"/>
        <v>1872124.8327578362</v>
      </c>
      <c r="Q15" s="70">
        <f t="shared" si="6"/>
        <v>21938897.274357833</v>
      </c>
      <c r="R15" s="104">
        <f t="shared" si="1"/>
        <v>10.743721348498804</v>
      </c>
      <c r="S15" s="104">
        <f t="shared" si="7"/>
        <v>5.3718606742494019</v>
      </c>
      <c r="T15" s="104">
        <v>5.371861</v>
      </c>
      <c r="U15" s="35">
        <f t="shared" si="8"/>
        <v>-3.2575059805139972E-7</v>
      </c>
      <c r="V15" s="104">
        <f t="shared" si="9"/>
        <v>0</v>
      </c>
      <c r="X15" s="104">
        <f t="shared" si="10"/>
        <v>0</v>
      </c>
      <c r="Y15" s="117">
        <v>7.3199050000000003</v>
      </c>
      <c r="Z15" s="229">
        <f t="shared" si="11"/>
        <v>-1.9480443257505984</v>
      </c>
      <c r="AA15" s="117"/>
      <c r="AB15" s="117"/>
      <c r="AG15" s="104"/>
      <c r="AH15" s="104"/>
    </row>
    <row r="16" spans="2:34" s="24" customFormat="1" ht="25.5" customHeight="1" x14ac:dyDescent="0.25">
      <c r="B16" s="500" t="s">
        <v>73</v>
      </c>
      <c r="C16" s="312" t="s">
        <v>8</v>
      </c>
      <c r="D16" s="314">
        <v>1.5</v>
      </c>
      <c r="E16" s="315">
        <v>6487103.1600000001</v>
      </c>
      <c r="F16" s="316">
        <f>CENSO!C15</f>
        <v>42514</v>
      </c>
      <c r="G16" s="317">
        <f t="shared" si="0"/>
        <v>3.5996782524025233</v>
      </c>
      <c r="H16" s="318">
        <v>627254.45194115397</v>
      </c>
      <c r="I16" s="315">
        <v>287635</v>
      </c>
      <c r="J16" s="443">
        <f t="shared" si="2"/>
        <v>5.4077191430170597E-2</v>
      </c>
      <c r="K16" s="315">
        <v>9423.1085932219885</v>
      </c>
      <c r="L16" s="315">
        <f t="shared" si="3"/>
        <v>636677.56053437595</v>
      </c>
      <c r="M16" s="315">
        <v>24800</v>
      </c>
      <c r="N16" s="319">
        <f>M16/M$31*100</f>
        <v>0.35585661790713552</v>
      </c>
      <c r="O16" s="315">
        <f t="shared" si="4"/>
        <v>53150.618833223649</v>
      </c>
      <c r="P16" s="320">
        <f t="shared" si="5"/>
        <v>689828.17936759954</v>
      </c>
      <c r="Q16" s="315">
        <f t="shared" si="6"/>
        <v>7176931.3393675992</v>
      </c>
      <c r="R16" s="207">
        <f t="shared" si="1"/>
        <v>3.653755443832694</v>
      </c>
      <c r="S16" s="207">
        <f t="shared" si="7"/>
        <v>1.826877721916347</v>
      </c>
      <c r="T16" s="207">
        <v>1.826878</v>
      </c>
      <c r="U16" s="217">
        <f t="shared" si="8"/>
        <v>-2.7808365299364368E-7</v>
      </c>
      <c r="V16" s="207">
        <f t="shared" si="9"/>
        <v>0.35585661790713552</v>
      </c>
      <c r="W16" s="24">
        <v>0.35585699999999998</v>
      </c>
      <c r="X16" s="207">
        <f t="shared" si="10"/>
        <v>-3.8209286445933799E-7</v>
      </c>
      <c r="Y16" s="241">
        <v>2.5551330000000001</v>
      </c>
      <c r="Z16" s="242">
        <f t="shared" si="11"/>
        <v>-0.72825527808365309</v>
      </c>
      <c r="AA16" s="241">
        <v>16.147120999999999</v>
      </c>
      <c r="AB16" s="241">
        <f>W16-AA16</f>
        <v>-15.791263999999998</v>
      </c>
      <c r="AG16" s="104"/>
      <c r="AH16" s="104"/>
    </row>
    <row r="17" spans="2:34" s="24" customFormat="1" ht="25.5" customHeight="1" x14ac:dyDescent="0.25">
      <c r="B17" s="500" t="s">
        <v>73</v>
      </c>
      <c r="C17" s="312" t="s">
        <v>9</v>
      </c>
      <c r="D17" s="314">
        <v>1.53</v>
      </c>
      <c r="E17" s="315">
        <v>6616845.2232000008</v>
      </c>
      <c r="F17" s="316">
        <f>CENSO!C16</f>
        <v>12614</v>
      </c>
      <c r="G17" s="317">
        <f t="shared" si="0"/>
        <v>1.0680326827822699</v>
      </c>
      <c r="H17" s="318">
        <v>186107.81523229327</v>
      </c>
      <c r="I17" s="315">
        <v>62501</v>
      </c>
      <c r="J17" s="443">
        <f t="shared" si="2"/>
        <v>1.1750581610642281E-2</v>
      </c>
      <c r="K17" s="315">
        <v>2047.5731749785928</v>
      </c>
      <c r="L17" s="315">
        <f t="shared" si="3"/>
        <v>188155.38840727188</v>
      </c>
      <c r="M17" s="315">
        <v>13729</v>
      </c>
      <c r="N17" s="319">
        <f>M17/M$31*100</f>
        <v>0.19699820593738157</v>
      </c>
      <c r="O17" s="315">
        <f t="shared" si="4"/>
        <v>29423.582498440621</v>
      </c>
      <c r="P17" s="320">
        <f t="shared" si="5"/>
        <v>217578.97090571251</v>
      </c>
      <c r="Q17" s="315">
        <f t="shared" si="6"/>
        <v>6834424.1941057136</v>
      </c>
      <c r="R17" s="207">
        <f t="shared" si="1"/>
        <v>1.0797832643929122</v>
      </c>
      <c r="S17" s="207">
        <f t="shared" si="7"/>
        <v>0.53989163219645608</v>
      </c>
      <c r="T17" s="207">
        <v>0.53989200000000004</v>
      </c>
      <c r="U17" s="217">
        <f t="shared" si="8"/>
        <v>-3.6780354395471448E-7</v>
      </c>
      <c r="V17" s="207">
        <f t="shared" si="9"/>
        <v>0.19699820593738157</v>
      </c>
      <c r="W17" s="24">
        <v>0.19699800000000001</v>
      </c>
      <c r="X17" s="207">
        <f t="shared" si="10"/>
        <v>2.0593738156438057E-7</v>
      </c>
      <c r="Y17" s="241">
        <v>0.75530600000000003</v>
      </c>
      <c r="Z17" s="242">
        <f t="shared" si="11"/>
        <v>-0.21541436780354395</v>
      </c>
      <c r="AA17" s="241">
        <v>4.7731430000000001</v>
      </c>
      <c r="AB17" s="241">
        <f t="shared" ref="AB17:AB29" si="12">W17-AA17</f>
        <v>-4.5761450000000004</v>
      </c>
      <c r="AG17" s="104"/>
      <c r="AH17" s="104"/>
    </row>
    <row r="18" spans="2:34" s="24" customFormat="1" ht="25.5" customHeight="1" x14ac:dyDescent="0.25">
      <c r="B18" s="501" t="s">
        <v>74</v>
      </c>
      <c r="C18" s="311" t="s">
        <v>10</v>
      </c>
      <c r="D18" s="310">
        <v>3.16</v>
      </c>
      <c r="E18" s="70">
        <v>13666163.990400001</v>
      </c>
      <c r="F18" s="308">
        <f>CENSO!C17</f>
        <v>29416</v>
      </c>
      <c r="G18" s="240">
        <f t="shared" si="0"/>
        <v>2.4906650861521529</v>
      </c>
      <c r="H18" s="219">
        <v>434005.66774006182</v>
      </c>
      <c r="I18" s="70">
        <v>14390923</v>
      </c>
      <c r="J18" s="444">
        <f t="shared" si="2"/>
        <v>2.7055841532770524</v>
      </c>
      <c r="K18" s="70">
        <v>471455.94307263009</v>
      </c>
      <c r="L18" s="70">
        <f t="shared" si="3"/>
        <v>905461.61081269197</v>
      </c>
      <c r="M18" s="70">
        <v>0</v>
      </c>
      <c r="N18" s="73">
        <v>0</v>
      </c>
      <c r="O18" s="70">
        <f t="shared" si="4"/>
        <v>0</v>
      </c>
      <c r="P18" s="212">
        <f t="shared" si="5"/>
        <v>905461.61081269197</v>
      </c>
      <c r="Q18" s="70">
        <f t="shared" si="6"/>
        <v>14571625.601212693</v>
      </c>
      <c r="R18" s="207">
        <f t="shared" si="1"/>
        <v>5.1962492394292052</v>
      </c>
      <c r="S18" s="207">
        <f t="shared" si="7"/>
        <v>2.5981246197146026</v>
      </c>
      <c r="T18" s="207">
        <v>2.598125</v>
      </c>
      <c r="U18" s="217">
        <f t="shared" si="8"/>
        <v>-3.802853973944309E-7</v>
      </c>
      <c r="V18" s="207">
        <f t="shared" si="9"/>
        <v>0</v>
      </c>
      <c r="X18" s="207">
        <f t="shared" si="10"/>
        <v>0</v>
      </c>
      <c r="Y18" s="241">
        <v>3.512527</v>
      </c>
      <c r="Z18" s="242">
        <f t="shared" si="11"/>
        <v>-0.91440238028539733</v>
      </c>
      <c r="AA18" s="241"/>
      <c r="AB18" s="241">
        <f t="shared" si="12"/>
        <v>0</v>
      </c>
      <c r="AG18" s="104"/>
      <c r="AH18" s="104"/>
    </row>
    <row r="19" spans="2:34" s="24" customFormat="1" ht="25.5" customHeight="1" x14ac:dyDescent="0.25">
      <c r="B19" s="501" t="s">
        <v>74</v>
      </c>
      <c r="C19" s="311" t="s">
        <v>11</v>
      </c>
      <c r="D19" s="310">
        <v>2.81</v>
      </c>
      <c r="E19" s="70">
        <v>12152506.5864</v>
      </c>
      <c r="F19" s="308">
        <f>CENSO!C18</f>
        <v>18580</v>
      </c>
      <c r="G19" s="240">
        <f t="shared" si="0"/>
        <v>1.5731764108208799</v>
      </c>
      <c r="H19" s="219">
        <v>274130.5856204225</v>
      </c>
      <c r="I19" s="70">
        <v>4206319</v>
      </c>
      <c r="J19" s="444">
        <f t="shared" si="2"/>
        <v>0.79081446200693162</v>
      </c>
      <c r="K19" s="70">
        <v>137801.73036915858</v>
      </c>
      <c r="L19" s="70">
        <f t="shared" si="3"/>
        <v>411932.31598958105</v>
      </c>
      <c r="M19" s="70">
        <v>0</v>
      </c>
      <c r="N19" s="73">
        <v>0</v>
      </c>
      <c r="O19" s="70">
        <f t="shared" si="4"/>
        <v>0</v>
      </c>
      <c r="P19" s="212">
        <f t="shared" si="5"/>
        <v>411932.31598958105</v>
      </c>
      <c r="Q19" s="70">
        <f t="shared" si="6"/>
        <v>12564438.902389582</v>
      </c>
      <c r="R19" s="207">
        <f t="shared" si="1"/>
        <v>2.3639908728278116</v>
      </c>
      <c r="S19" s="207">
        <f t="shared" si="7"/>
        <v>1.1819954364139058</v>
      </c>
      <c r="T19" s="207">
        <v>1.1819949999999999</v>
      </c>
      <c r="U19" s="217">
        <f t="shared" si="8"/>
        <v>4.3641390590209994E-7</v>
      </c>
      <c r="V19" s="207">
        <f t="shared" si="9"/>
        <v>0</v>
      </c>
      <c r="X19" s="207">
        <f t="shared" si="10"/>
        <v>0</v>
      </c>
      <c r="Y19" s="241">
        <v>1.6183019999999999</v>
      </c>
      <c r="Z19" s="242">
        <f t="shared" si="11"/>
        <v>-0.4363065635860941</v>
      </c>
      <c r="AA19" s="241"/>
      <c r="AB19" s="241">
        <f t="shared" si="12"/>
        <v>0</v>
      </c>
      <c r="AG19" s="104"/>
      <c r="AH19" s="104"/>
    </row>
    <row r="20" spans="2:34" s="24" customFormat="1" ht="25.5" customHeight="1" x14ac:dyDescent="0.25">
      <c r="B20" s="501" t="s">
        <v>74</v>
      </c>
      <c r="C20" s="311" t="s">
        <v>12</v>
      </c>
      <c r="D20" s="310">
        <v>1.6</v>
      </c>
      <c r="E20" s="70">
        <v>6919576.7039999999</v>
      </c>
      <c r="F20" s="308">
        <f>CENSO!C19</f>
        <v>14315</v>
      </c>
      <c r="G20" s="240">
        <f t="shared" si="0"/>
        <v>1.212057067863342</v>
      </c>
      <c r="H20" s="219">
        <v>211204.48509991108</v>
      </c>
      <c r="I20" s="70">
        <v>619298</v>
      </c>
      <c r="J20" s="444">
        <f t="shared" si="2"/>
        <v>0.11643192413413456</v>
      </c>
      <c r="K20" s="70">
        <v>20288.602936239302</v>
      </c>
      <c r="L20" s="70">
        <f t="shared" si="3"/>
        <v>231493.08803615038</v>
      </c>
      <c r="M20" s="70">
        <v>0</v>
      </c>
      <c r="N20" s="73">
        <v>0</v>
      </c>
      <c r="O20" s="70">
        <f t="shared" si="4"/>
        <v>0</v>
      </c>
      <c r="P20" s="212">
        <f t="shared" si="5"/>
        <v>231493.08803615038</v>
      </c>
      <c r="Q20" s="70">
        <f t="shared" si="6"/>
        <v>7151069.7920361506</v>
      </c>
      <c r="R20" s="207">
        <f t="shared" si="1"/>
        <v>1.3284889919974765</v>
      </c>
      <c r="S20" s="207">
        <f t="shared" si="7"/>
        <v>0.66424449599873825</v>
      </c>
      <c r="T20" s="207">
        <v>0.66424499999999997</v>
      </c>
      <c r="U20" s="217">
        <v>9.9999999999999995E-7</v>
      </c>
      <c r="V20" s="207">
        <f t="shared" si="9"/>
        <v>0</v>
      </c>
      <c r="X20" s="207">
        <f t="shared" si="10"/>
        <v>0</v>
      </c>
      <c r="Y20" s="241">
        <v>0.92457</v>
      </c>
      <c r="Z20" s="242">
        <f t="shared" si="11"/>
        <v>-0.26032550400126175</v>
      </c>
      <c r="AA20" s="241"/>
      <c r="AB20" s="241">
        <f t="shared" si="12"/>
        <v>0</v>
      </c>
      <c r="AG20" s="104"/>
      <c r="AH20" s="104"/>
    </row>
    <row r="21" spans="2:34" s="24" customFormat="1" ht="25.5" customHeight="1" x14ac:dyDescent="0.25">
      <c r="B21" s="500" t="s">
        <v>73</v>
      </c>
      <c r="C21" s="312" t="s">
        <v>13</v>
      </c>
      <c r="D21" s="314">
        <v>2.84</v>
      </c>
      <c r="E21" s="315">
        <v>12282248.649599999</v>
      </c>
      <c r="F21" s="316">
        <f>CENSO!C20</f>
        <v>33901</v>
      </c>
      <c r="G21" s="317">
        <f t="shared" si="0"/>
        <v>2.8704119215951907</v>
      </c>
      <c r="H21" s="318">
        <v>500177.66324639088</v>
      </c>
      <c r="I21" s="315">
        <v>1819462</v>
      </c>
      <c r="J21" s="443">
        <f t="shared" si="2"/>
        <v>0.34207031437036889</v>
      </c>
      <c r="K21" s="315">
        <v>59606.751637460206</v>
      </c>
      <c r="L21" s="315">
        <f t="shared" si="3"/>
        <v>559784.41488385107</v>
      </c>
      <c r="M21" s="315">
        <v>1144848</v>
      </c>
      <c r="N21" s="319">
        <f>M21/M$31*100</f>
        <v>16.427489407167268</v>
      </c>
      <c r="O21" s="315">
        <f t="shared" si="4"/>
        <v>2453604.0189507431</v>
      </c>
      <c r="P21" s="320">
        <f t="shared" si="5"/>
        <v>3013388.4338345942</v>
      </c>
      <c r="Q21" s="315">
        <f t="shared" si="6"/>
        <v>15295637.083434595</v>
      </c>
      <c r="R21" s="207">
        <f t="shared" si="1"/>
        <v>3.2124822359655596</v>
      </c>
      <c r="S21" s="207">
        <f t="shared" si="7"/>
        <v>1.6062411179827798</v>
      </c>
      <c r="T21" s="207">
        <v>1.606241</v>
      </c>
      <c r="U21" s="217">
        <f t="shared" si="8"/>
        <v>1.1798277976815541E-7</v>
      </c>
      <c r="V21" s="207">
        <f t="shared" si="9"/>
        <v>16.427489407167268</v>
      </c>
      <c r="W21" s="24">
        <v>16.427489000000001</v>
      </c>
      <c r="X21" s="207">
        <f t="shared" si="10"/>
        <v>4.0716726701361949E-7</v>
      </c>
      <c r="Y21" s="241">
        <v>2.2329530000000002</v>
      </c>
      <c r="Z21" s="242">
        <f t="shared" si="11"/>
        <v>-0.62671188201722039</v>
      </c>
      <c r="AA21" s="241">
        <v>14.111107000000001</v>
      </c>
      <c r="AB21" s="241">
        <f t="shared" si="12"/>
        <v>2.3163820000000008</v>
      </c>
      <c r="AG21" s="104"/>
      <c r="AH21" s="104"/>
    </row>
    <row r="22" spans="2:34" s="24" customFormat="1" ht="25.5" customHeight="1" x14ac:dyDescent="0.25">
      <c r="B22" s="501" t="s">
        <v>74</v>
      </c>
      <c r="C22" s="311" t="s">
        <v>14</v>
      </c>
      <c r="D22" s="310">
        <v>3.33</v>
      </c>
      <c r="E22" s="70">
        <v>14401369.015200002</v>
      </c>
      <c r="F22" s="308">
        <f>CENSO!C21</f>
        <v>24743</v>
      </c>
      <c r="G22" s="240">
        <f t="shared" si="0"/>
        <v>2.0950002116760511</v>
      </c>
      <c r="H22" s="219">
        <v>365059.90742767026</v>
      </c>
      <c r="I22" s="70">
        <v>1893758</v>
      </c>
      <c r="J22" s="444">
        <f t="shared" si="2"/>
        <v>0.35603843026202314</v>
      </c>
      <c r="K22" s="70">
        <v>62040.73663943154</v>
      </c>
      <c r="L22" s="70">
        <f t="shared" si="3"/>
        <v>427100.64406710182</v>
      </c>
      <c r="M22" s="70">
        <v>0</v>
      </c>
      <c r="N22" s="73">
        <v>0</v>
      </c>
      <c r="O22" s="70">
        <f t="shared" si="4"/>
        <v>0</v>
      </c>
      <c r="P22" s="212">
        <f t="shared" si="5"/>
        <v>427100.64406710182</v>
      </c>
      <c r="Q22" s="70">
        <f t="shared" si="6"/>
        <v>14828469.659267103</v>
      </c>
      <c r="R22" s="207">
        <f t="shared" si="1"/>
        <v>2.4510386419380743</v>
      </c>
      <c r="S22" s="207">
        <f t="shared" si="7"/>
        <v>1.2255193209690372</v>
      </c>
      <c r="T22" s="207">
        <v>1.225519</v>
      </c>
      <c r="U22" s="217">
        <f t="shared" si="8"/>
        <v>3.2096903712641733E-7</v>
      </c>
      <c r="V22" s="207">
        <f t="shared" si="9"/>
        <v>0</v>
      </c>
      <c r="X22" s="207">
        <f t="shared" si="10"/>
        <v>0</v>
      </c>
      <c r="Y22" s="241">
        <v>1.699298</v>
      </c>
      <c r="Z22" s="242">
        <f t="shared" si="11"/>
        <v>-0.47377867903096282</v>
      </c>
      <c r="AA22" s="241"/>
      <c r="AB22" s="241">
        <f t="shared" si="12"/>
        <v>0</v>
      </c>
      <c r="AG22" s="104"/>
      <c r="AH22" s="104"/>
    </row>
    <row r="23" spans="2:34" s="24" customFormat="1" ht="25.5" customHeight="1" x14ac:dyDescent="0.25">
      <c r="B23" s="501" t="s">
        <v>74</v>
      </c>
      <c r="C23" s="311" t="s">
        <v>15</v>
      </c>
      <c r="D23" s="310">
        <v>4.6900000000000004</v>
      </c>
      <c r="E23" s="70">
        <v>20283009.213600002</v>
      </c>
      <c r="F23" s="308">
        <f>CENSO!C22</f>
        <v>43979</v>
      </c>
      <c r="G23" s="240">
        <f t="shared" si="0"/>
        <v>3.7237204182718768</v>
      </c>
      <c r="H23" s="219">
        <v>648869.16173307644</v>
      </c>
      <c r="I23" s="70">
        <v>4000518</v>
      </c>
      <c r="J23" s="444">
        <f t="shared" si="2"/>
        <v>0.75212257794024795</v>
      </c>
      <c r="K23" s="70">
        <v>131059.55653219964</v>
      </c>
      <c r="L23" s="70">
        <f t="shared" si="3"/>
        <v>779928.71826527605</v>
      </c>
      <c r="M23" s="70">
        <v>0</v>
      </c>
      <c r="N23" s="73">
        <v>0</v>
      </c>
      <c r="O23" s="70">
        <f t="shared" si="4"/>
        <v>0</v>
      </c>
      <c r="P23" s="212">
        <f t="shared" si="5"/>
        <v>779928.71826527605</v>
      </c>
      <c r="Q23" s="70">
        <f t="shared" si="6"/>
        <v>21062937.931865279</v>
      </c>
      <c r="R23" s="207">
        <f t="shared" si="1"/>
        <v>4.4758429962121244</v>
      </c>
      <c r="S23" s="207">
        <f t="shared" si="7"/>
        <v>2.2379214981060622</v>
      </c>
      <c r="T23" s="207">
        <v>2.2379220000000002</v>
      </c>
      <c r="U23" s="217">
        <f t="shared" si="8"/>
        <v>-5.0189393796529203E-7</v>
      </c>
      <c r="V23" s="207">
        <f t="shared" si="9"/>
        <v>0</v>
      </c>
      <c r="X23" s="207">
        <f t="shared" si="10"/>
        <v>0</v>
      </c>
      <c r="Y23" s="241">
        <v>3.0983839999999998</v>
      </c>
      <c r="Z23" s="242">
        <f t="shared" si="11"/>
        <v>-0.86046250189393758</v>
      </c>
      <c r="AA23" s="241"/>
      <c r="AB23" s="241">
        <f t="shared" si="12"/>
        <v>0</v>
      </c>
      <c r="AG23" s="104"/>
      <c r="AH23" s="104"/>
    </row>
    <row r="24" spans="2:34" s="24" customFormat="1" ht="25.5" customHeight="1" x14ac:dyDescent="0.25">
      <c r="B24" s="500" t="s">
        <v>73</v>
      </c>
      <c r="C24" s="312" t="s">
        <v>16</v>
      </c>
      <c r="D24" s="314">
        <v>2.13</v>
      </c>
      <c r="E24" s="315">
        <v>9211686.4871999994</v>
      </c>
      <c r="F24" s="316">
        <f>CENSO!C23</f>
        <v>7499</v>
      </c>
      <c r="G24" s="317">
        <f t="shared" si="0"/>
        <v>0.63494348249439059</v>
      </c>
      <c r="H24" s="318">
        <v>110640.75681203166</v>
      </c>
      <c r="I24" s="315">
        <v>1219342</v>
      </c>
      <c r="J24" s="443">
        <f t="shared" si="2"/>
        <v>0.22924397501294028</v>
      </c>
      <c r="K24" s="315">
        <v>39946.432382277839</v>
      </c>
      <c r="L24" s="315">
        <f t="shared" si="3"/>
        <v>150587.1891943095</v>
      </c>
      <c r="M24" s="315">
        <v>779421</v>
      </c>
      <c r="N24" s="319">
        <f>M24/M$31*100</f>
        <v>11.183956491362801</v>
      </c>
      <c r="O24" s="315">
        <f t="shared" si="4"/>
        <v>1670431.7936133069</v>
      </c>
      <c r="P24" s="320">
        <f t="shared" si="5"/>
        <v>1821018.9828076165</v>
      </c>
      <c r="Q24" s="315">
        <f t="shared" si="6"/>
        <v>11032705.470007615</v>
      </c>
      <c r="R24" s="207">
        <f t="shared" si="1"/>
        <v>0.86418745750733084</v>
      </c>
      <c r="S24" s="207">
        <f t="shared" si="7"/>
        <v>0.43209372875366542</v>
      </c>
      <c r="T24" s="207">
        <v>0.43209399999999998</v>
      </c>
      <c r="U24" s="217">
        <f t="shared" si="8"/>
        <v>-2.7124633455999358E-7</v>
      </c>
      <c r="V24" s="207">
        <f t="shared" si="9"/>
        <v>11.183956491362801</v>
      </c>
      <c r="W24" s="24">
        <v>11.183956</v>
      </c>
      <c r="X24" s="207">
        <f t="shared" si="10"/>
        <v>4.9136280111383712E-7</v>
      </c>
      <c r="Y24" s="241">
        <v>0.59435300000000002</v>
      </c>
      <c r="Z24" s="242">
        <f t="shared" si="11"/>
        <v>-0.1622592712463346</v>
      </c>
      <c r="AA24" s="241">
        <v>3.7560030000000002</v>
      </c>
      <c r="AB24" s="241">
        <f t="shared" si="12"/>
        <v>7.4279530000000005</v>
      </c>
      <c r="AG24" s="104"/>
      <c r="AH24" s="104"/>
    </row>
    <row r="25" spans="2:34" s="24" customFormat="1" ht="25.5" customHeight="1" x14ac:dyDescent="0.25">
      <c r="B25" s="501" t="s">
        <v>123</v>
      </c>
      <c r="C25" s="311" t="s">
        <v>17</v>
      </c>
      <c r="D25" s="310">
        <v>2.81</v>
      </c>
      <c r="E25" s="70">
        <v>12152506.5864</v>
      </c>
      <c r="F25" s="308">
        <f>CENSO!C24</f>
        <v>23477</v>
      </c>
      <c r="G25" s="240">
        <f t="shared" si="0"/>
        <v>1.9878074594640365</v>
      </c>
      <c r="H25" s="219">
        <v>346381.25719110115</v>
      </c>
      <c r="I25" s="70">
        <v>4314653</v>
      </c>
      <c r="J25" s="444">
        <f t="shared" si="2"/>
        <v>0.81118193625866075</v>
      </c>
      <c r="K25" s="70">
        <v>141350.82226109839</v>
      </c>
      <c r="L25" s="70">
        <f t="shared" si="3"/>
        <v>487732.07945219951</v>
      </c>
      <c r="M25" s="70">
        <v>0</v>
      </c>
      <c r="N25" s="73">
        <v>0</v>
      </c>
      <c r="O25" s="70">
        <f t="shared" si="4"/>
        <v>0</v>
      </c>
      <c r="P25" s="212">
        <f t="shared" si="5"/>
        <v>487732.07945219951</v>
      </c>
      <c r="Q25" s="70">
        <f t="shared" si="6"/>
        <v>12640238.6658522</v>
      </c>
      <c r="R25" s="207">
        <f t="shared" si="1"/>
        <v>2.798989395722697</v>
      </c>
      <c r="S25" s="207">
        <f t="shared" si="7"/>
        <v>1.3994946978613485</v>
      </c>
      <c r="T25" s="207">
        <v>1.3994949999999999</v>
      </c>
      <c r="U25" s="217">
        <f t="shared" si="8"/>
        <v>-3.0213865143124963E-7</v>
      </c>
      <c r="V25" s="207">
        <f t="shared" si="9"/>
        <v>0</v>
      </c>
      <c r="X25" s="207">
        <f t="shared" si="10"/>
        <v>0</v>
      </c>
      <c r="Y25" s="241">
        <v>1.921861</v>
      </c>
      <c r="Z25" s="242">
        <f t="shared" si="11"/>
        <v>-0.52236630213865154</v>
      </c>
      <c r="AA25" s="241"/>
      <c r="AB25" s="241">
        <f t="shared" si="12"/>
        <v>0</v>
      </c>
      <c r="AG25" s="104"/>
      <c r="AH25" s="104"/>
    </row>
    <row r="26" spans="2:34" s="24" customFormat="1" ht="25.5" customHeight="1" x14ac:dyDescent="0.25">
      <c r="B26" s="500" t="s">
        <v>73</v>
      </c>
      <c r="C26" s="312" t="s">
        <v>23</v>
      </c>
      <c r="D26" s="314">
        <v>8.34</v>
      </c>
      <c r="E26" s="315">
        <v>36068293.569600001</v>
      </c>
      <c r="F26" s="316">
        <f>CENSO!C25</f>
        <v>97820</v>
      </c>
      <c r="G26" s="317">
        <f t="shared" si="0"/>
        <v>8.2824605224164927</v>
      </c>
      <c r="H26" s="318">
        <v>1443242.94323949</v>
      </c>
      <c r="I26" s="315">
        <v>15229971</v>
      </c>
      <c r="J26" s="443">
        <f t="shared" si="2"/>
        <v>2.8633304613240629</v>
      </c>
      <c r="K26" s="315">
        <v>498943.69810566067</v>
      </c>
      <c r="L26" s="315">
        <f t="shared" si="3"/>
        <v>1942186.6413451508</v>
      </c>
      <c r="M26" s="315">
        <v>4175631</v>
      </c>
      <c r="N26" s="319">
        <f>M26/M$31*100</f>
        <v>59.916367955168958</v>
      </c>
      <c r="O26" s="315">
        <f t="shared" si="4"/>
        <v>8949087.5673061498</v>
      </c>
      <c r="P26" s="320">
        <f t="shared" si="5"/>
        <v>10891274.208651301</v>
      </c>
      <c r="Q26" s="315">
        <f t="shared" si="6"/>
        <v>46959567.778251305</v>
      </c>
      <c r="R26" s="207">
        <f t="shared" si="1"/>
        <v>11.145790983740556</v>
      </c>
      <c r="S26" s="207">
        <f t="shared" si="7"/>
        <v>5.5728954918702778</v>
      </c>
      <c r="T26" s="207">
        <v>5.5728949999999999</v>
      </c>
      <c r="U26" s="217">
        <f t="shared" si="8"/>
        <v>4.9187027784114434E-7</v>
      </c>
      <c r="V26" s="207">
        <f t="shared" si="9"/>
        <v>59.916367955168958</v>
      </c>
      <c r="W26" s="24">
        <v>59.916367999999999</v>
      </c>
      <c r="X26" s="207">
        <f t="shared" si="10"/>
        <v>-4.4831040213466622E-8</v>
      </c>
      <c r="Y26" s="241">
        <v>7.6699279999999996</v>
      </c>
      <c r="Z26" s="242">
        <f t="shared" si="11"/>
        <v>-2.0970325081297219</v>
      </c>
      <c r="AA26" s="241">
        <v>48.469971999999999</v>
      </c>
      <c r="AB26" s="241">
        <f t="shared" si="12"/>
        <v>11.446396</v>
      </c>
      <c r="AG26" s="104"/>
      <c r="AH26" s="104"/>
    </row>
    <row r="27" spans="2:34" s="24" customFormat="1" ht="25.5" customHeight="1" x14ac:dyDescent="0.25">
      <c r="B27" s="501" t="s">
        <v>74</v>
      </c>
      <c r="C27" s="311" t="s">
        <v>18</v>
      </c>
      <c r="D27" s="310">
        <v>3.5</v>
      </c>
      <c r="E27" s="70">
        <v>15136574.040000001</v>
      </c>
      <c r="F27" s="308">
        <f>CENSO!C26</f>
        <v>39718</v>
      </c>
      <c r="G27" s="240">
        <f t="shared" si="0"/>
        <v>3.3629397569958934</v>
      </c>
      <c r="H27" s="219">
        <v>586002.07748503436</v>
      </c>
      <c r="I27" s="70">
        <v>11548623</v>
      </c>
      <c r="J27" s="444">
        <f t="shared" si="2"/>
        <v>2.1712138534109933</v>
      </c>
      <c r="K27" s="70">
        <v>378340.3571581383</v>
      </c>
      <c r="L27" s="70">
        <f t="shared" si="3"/>
        <v>964342.43464317266</v>
      </c>
      <c r="M27" s="70">
        <v>0</v>
      </c>
      <c r="N27" s="73">
        <v>0</v>
      </c>
      <c r="O27" s="70">
        <f t="shared" si="4"/>
        <v>0</v>
      </c>
      <c r="P27" s="212">
        <f t="shared" si="5"/>
        <v>964342.43464317266</v>
      </c>
      <c r="Q27" s="70">
        <f t="shared" si="6"/>
        <v>16100916.474643175</v>
      </c>
      <c r="R27" s="207">
        <f t="shared" si="1"/>
        <v>5.5341536104068867</v>
      </c>
      <c r="S27" s="207">
        <f t="shared" si="7"/>
        <v>2.7670768052034433</v>
      </c>
      <c r="T27" s="207">
        <v>2.767077</v>
      </c>
      <c r="U27" s="217">
        <f t="shared" si="8"/>
        <v>-1.9479655666287954E-7</v>
      </c>
      <c r="V27" s="207">
        <f t="shared" si="9"/>
        <v>0</v>
      </c>
      <c r="X27" s="207">
        <f t="shared" si="10"/>
        <v>0</v>
      </c>
      <c r="Y27" s="241">
        <v>3.7737189999999998</v>
      </c>
      <c r="Z27" s="242">
        <f t="shared" si="11"/>
        <v>-1.0066421947965565</v>
      </c>
      <c r="AA27" s="241"/>
      <c r="AB27" s="241">
        <f t="shared" si="12"/>
        <v>0</v>
      </c>
      <c r="AG27" s="104"/>
      <c r="AH27" s="104"/>
    </row>
    <row r="28" spans="2:34" s="24" customFormat="1" ht="25.5" customHeight="1" x14ac:dyDescent="0.25">
      <c r="B28" s="501" t="s">
        <v>74</v>
      </c>
      <c r="C28" s="311" t="s">
        <v>19</v>
      </c>
      <c r="D28" s="310">
        <v>39</v>
      </c>
      <c r="E28" s="70">
        <v>168664682.16</v>
      </c>
      <c r="F28" s="308">
        <f>CENSO!C27</f>
        <v>413608</v>
      </c>
      <c r="G28" s="240">
        <f t="shared" si="0"/>
        <v>35.020363236103471</v>
      </c>
      <c r="H28" s="219">
        <v>6102400.6058822228</v>
      </c>
      <c r="I28" s="70">
        <v>186622629</v>
      </c>
      <c r="J28" s="444">
        <f t="shared" si="2"/>
        <v>35.086229539641238</v>
      </c>
      <c r="K28" s="70">
        <v>6113878.0017020851</v>
      </c>
      <c r="L28" s="70">
        <f t="shared" si="3"/>
        <v>12216278.607584309</v>
      </c>
      <c r="M28" s="70">
        <v>0</v>
      </c>
      <c r="N28" s="73">
        <v>0</v>
      </c>
      <c r="O28" s="70">
        <f t="shared" si="4"/>
        <v>0</v>
      </c>
      <c r="P28" s="212">
        <f t="shared" si="5"/>
        <v>12216278.607584309</v>
      </c>
      <c r="Q28" s="70">
        <f t="shared" si="6"/>
        <v>180880960.76758429</v>
      </c>
      <c r="R28" s="207">
        <f t="shared" si="1"/>
        <v>70.106592775744701</v>
      </c>
      <c r="S28" s="207">
        <f t="shared" si="7"/>
        <v>35.053296387872351</v>
      </c>
      <c r="T28" s="207">
        <v>35.053296000000003</v>
      </c>
      <c r="U28" s="217">
        <f t="shared" si="8"/>
        <v>3.8787234757364786E-7</v>
      </c>
      <c r="V28" s="207">
        <f t="shared" si="9"/>
        <v>0</v>
      </c>
      <c r="X28" s="207">
        <f t="shared" si="10"/>
        <v>0</v>
      </c>
      <c r="Y28" s="241">
        <v>47.455587999999999</v>
      </c>
      <c r="Z28" s="242">
        <f t="shared" si="11"/>
        <v>-12.402291612127648</v>
      </c>
      <c r="AA28" s="241"/>
      <c r="AB28" s="241">
        <f t="shared" si="12"/>
        <v>0</v>
      </c>
      <c r="AG28" s="104"/>
      <c r="AH28" s="104"/>
    </row>
    <row r="29" spans="2:34" s="24" customFormat="1" ht="25.5" customHeight="1" x14ac:dyDescent="0.25">
      <c r="B29" s="500" t="s">
        <v>75</v>
      </c>
      <c r="C29" s="312" t="s">
        <v>20</v>
      </c>
      <c r="D29" s="314">
        <v>3.79</v>
      </c>
      <c r="E29" s="315">
        <v>16390747.317600001</v>
      </c>
      <c r="F29" s="316">
        <f>CENSO!C28</f>
        <v>30565</v>
      </c>
      <c r="G29" s="317">
        <f t="shared" si="0"/>
        <v>2.5879513991786967</v>
      </c>
      <c r="H29" s="318">
        <v>450958.09200690052</v>
      </c>
      <c r="I29" s="315">
        <v>1666341</v>
      </c>
      <c r="J29" s="443">
        <f t="shared" si="2"/>
        <v>0.31328260206491532</v>
      </c>
      <c r="K29" s="315">
        <v>54590.40866493342</v>
      </c>
      <c r="L29" s="315">
        <f t="shared" si="3"/>
        <v>505548.50067183393</v>
      </c>
      <c r="M29" s="315">
        <v>830670</v>
      </c>
      <c r="N29" s="319">
        <f>M29/M$31*100</f>
        <v>11.919331322456461</v>
      </c>
      <c r="O29" s="315">
        <f t="shared" si="4"/>
        <v>1780267.1187981407</v>
      </c>
      <c r="P29" s="320">
        <f t="shared" si="5"/>
        <v>2285815.6194699747</v>
      </c>
      <c r="Q29" s="315">
        <f t="shared" si="6"/>
        <v>18676562.937069975</v>
      </c>
      <c r="R29" s="207">
        <f t="shared" si="1"/>
        <v>2.901234001243612</v>
      </c>
      <c r="S29" s="207">
        <f t="shared" si="7"/>
        <v>1.450617000621806</v>
      </c>
      <c r="T29" s="207">
        <v>1.450617</v>
      </c>
      <c r="U29" s="217">
        <f t="shared" si="8"/>
        <v>6.218059400708853E-10</v>
      </c>
      <c r="V29" s="207">
        <f t="shared" si="9"/>
        <v>11.919331322456461</v>
      </c>
      <c r="W29" s="24">
        <v>11.919331</v>
      </c>
      <c r="X29" s="207">
        <f t="shared" si="10"/>
        <v>3.2245646153228336E-7</v>
      </c>
      <c r="Y29" s="241">
        <v>2.0164080000000002</v>
      </c>
      <c r="Z29" s="242">
        <f t="shared" si="11"/>
        <v>-0.56579099937819421</v>
      </c>
      <c r="AA29" s="241">
        <v>12.742653000000001</v>
      </c>
      <c r="AB29" s="241">
        <f t="shared" si="12"/>
        <v>-0.823322000000001</v>
      </c>
      <c r="AG29" s="104"/>
      <c r="AH29" s="104"/>
    </row>
    <row r="30" spans="2:34" s="24" customFormat="1" ht="25.5" customHeight="1" thickBot="1" x14ac:dyDescent="0.3">
      <c r="B30" s="502" t="s">
        <v>74</v>
      </c>
      <c r="C30" s="313" t="s">
        <v>21</v>
      </c>
      <c r="D30" s="503">
        <v>3.1</v>
      </c>
      <c r="E30" s="195">
        <v>13406679.864</v>
      </c>
      <c r="F30" s="309">
        <f>CENSO!C29</f>
        <v>57418</v>
      </c>
      <c r="G30" s="504">
        <f t="shared" si="0"/>
        <v>4.8616061978747727</v>
      </c>
      <c r="H30" s="265">
        <v>847149.08316218609</v>
      </c>
      <c r="I30" s="195">
        <v>28960943</v>
      </c>
      <c r="J30" s="445">
        <f t="shared" si="2"/>
        <v>5.4448396704478217</v>
      </c>
      <c r="K30" s="195">
        <v>948779.21967462997</v>
      </c>
      <c r="L30" s="195">
        <f t="shared" si="3"/>
        <v>1795928.3028368161</v>
      </c>
      <c r="M30" s="195">
        <v>0</v>
      </c>
      <c r="N30" s="505">
        <v>0</v>
      </c>
      <c r="O30" s="195">
        <f t="shared" si="4"/>
        <v>0</v>
      </c>
      <c r="P30" s="506">
        <f t="shared" si="5"/>
        <v>1795928.3028368161</v>
      </c>
      <c r="Q30" s="195">
        <f t="shared" si="6"/>
        <v>15202608.166836817</v>
      </c>
      <c r="R30" s="207">
        <f t="shared" si="1"/>
        <v>10.306445868322594</v>
      </c>
      <c r="S30" s="207">
        <f t="shared" si="7"/>
        <v>5.1532229341612972</v>
      </c>
      <c r="T30" s="207">
        <v>5.1532229999999997</v>
      </c>
      <c r="U30" s="217">
        <f t="shared" si="8"/>
        <v>-6.5838702489884326E-8</v>
      </c>
      <c r="V30" s="207">
        <f t="shared" si="9"/>
        <v>0</v>
      </c>
      <c r="X30" s="207">
        <f t="shared" si="10"/>
        <v>0</v>
      </c>
      <c r="Y30" s="241">
        <v>6.9632639999999997</v>
      </c>
      <c r="Z30" s="242">
        <f t="shared" si="11"/>
        <v>-1.8100410658387025</v>
      </c>
      <c r="AA30" s="241"/>
      <c r="AB30" s="241"/>
      <c r="AG30" s="104"/>
      <c r="AH30" s="104"/>
    </row>
    <row r="31" spans="2:34" ht="15.75" thickBot="1" x14ac:dyDescent="0.3">
      <c r="B31" s="447"/>
      <c r="C31" s="448" t="s">
        <v>22</v>
      </c>
      <c r="D31" s="449">
        <f>SUM(D11:D30)</f>
        <v>100</v>
      </c>
      <c r="E31" s="114">
        <f>SUM(E11:E30)</f>
        <v>432473544.00000006</v>
      </c>
      <c r="F31" s="264">
        <f>SUM(F11:F30)</f>
        <v>1181050</v>
      </c>
      <c r="G31" s="450">
        <f t="shared" si="0"/>
        <v>100</v>
      </c>
      <c r="H31" s="220">
        <f>SUM(H11:H30)</f>
        <v>17425292.149999999</v>
      </c>
      <c r="I31" s="194">
        <f>SUM(I11:I30)</f>
        <v>531897076</v>
      </c>
      <c r="J31" s="451">
        <f>I31/I$31*100</f>
        <v>100</v>
      </c>
      <c r="K31" s="114">
        <f>SUM(K11:K30)</f>
        <v>17425292.149999999</v>
      </c>
      <c r="L31" s="114">
        <f>SUM(L11:L30)</f>
        <v>34850584.299999997</v>
      </c>
      <c r="M31" s="452">
        <f>SUM(M11:M30)</f>
        <v>6969099</v>
      </c>
      <c r="N31" s="451">
        <f>SUM(N11:N30)</f>
        <v>100</v>
      </c>
      <c r="O31" s="220">
        <f>([3]Datos!K$24-[3]FFM!H$31-[3]FFM!K$31)*[3]FFM!N31%</f>
        <v>14935964.700000003</v>
      </c>
      <c r="P31" s="184">
        <f>SUM(P11:P30)</f>
        <v>49786549</v>
      </c>
      <c r="Q31" s="453">
        <f>SUM(Q11:Q30)</f>
        <v>482260093</v>
      </c>
      <c r="R31" s="104">
        <f>SUM(R11:R30)</f>
        <v>199.99999999999997</v>
      </c>
      <c r="S31" s="104">
        <f t="shared" si="7"/>
        <v>99.999999999999986</v>
      </c>
      <c r="T31" s="104">
        <f>SUM(T11:T30)</f>
        <v>100.000001</v>
      </c>
      <c r="U31" s="104">
        <f>SUM(U11:U30)</f>
        <v>5.0400125642291367E-7</v>
      </c>
      <c r="V31" s="104">
        <f>SUM(V11:V30)</f>
        <v>100</v>
      </c>
      <c r="W31" s="104">
        <f t="shared" ref="W31:X31" si="13">SUM(W11:W30)</f>
        <v>99.999999000000003</v>
      </c>
      <c r="X31" s="104">
        <f t="shared" si="13"/>
        <v>1.0000000065513159E-6</v>
      </c>
      <c r="Y31" s="229">
        <f>SUM(Y11:Y30)</f>
        <v>140.00000000000003</v>
      </c>
      <c r="Z31" s="229">
        <f t="shared" ref="Z31:AB31" si="14">SUM(Z11:Z30)</f>
        <v>-40</v>
      </c>
      <c r="AA31" s="229">
        <f t="shared" si="14"/>
        <v>99.999999000000003</v>
      </c>
      <c r="AB31" s="229">
        <f t="shared" si="14"/>
        <v>1.7763568394002505E-15</v>
      </c>
      <c r="AG31" s="104"/>
    </row>
    <row r="32" spans="2:34" x14ac:dyDescent="0.25">
      <c r="B32" s="488" t="s">
        <v>265</v>
      </c>
      <c r="C32" s="1"/>
      <c r="D32" s="10"/>
      <c r="E32" s="1"/>
      <c r="F32" s="1"/>
      <c r="G32" s="1"/>
      <c r="H32" s="25"/>
      <c r="I32" s="16"/>
      <c r="J32" s="16"/>
      <c r="K32" s="25"/>
      <c r="L32" s="25"/>
      <c r="M32" s="17"/>
      <c r="N32" s="17"/>
      <c r="O32" s="26"/>
      <c r="P32" s="16"/>
    </row>
    <row r="33" spans="3:15" ht="2.25" customHeight="1" x14ac:dyDescent="0.25">
      <c r="C33" s="675"/>
      <c r="D33" s="675"/>
      <c r="E33" s="675"/>
      <c r="F33" s="675"/>
      <c r="H33" s="327"/>
      <c r="I33" s="327"/>
      <c r="J33" s="327"/>
      <c r="K33"/>
      <c r="L33"/>
      <c r="O33"/>
    </row>
    <row r="34" spans="3:15" x14ac:dyDescent="0.25">
      <c r="C34" s="480" t="s">
        <v>201</v>
      </c>
      <c r="D34" s="23"/>
      <c r="E34" s="23"/>
      <c r="F34" s="23"/>
      <c r="G34" s="23"/>
      <c r="H34" s="99"/>
      <c r="I34" s="254"/>
      <c r="J34" s="99"/>
      <c r="M34" s="24"/>
      <c r="N34" s="24"/>
    </row>
    <row r="35" spans="3:15" x14ac:dyDescent="0.25">
      <c r="C35" s="673" t="s">
        <v>269</v>
      </c>
      <c r="D35" s="673"/>
      <c r="E35" s="673"/>
      <c r="F35" s="673"/>
      <c r="G35" s="673"/>
      <c r="H35" s="673"/>
      <c r="I35" s="673"/>
      <c r="J35" s="673"/>
      <c r="K35" s="673"/>
      <c r="L35" s="673"/>
      <c r="M35" s="673"/>
      <c r="N35" s="673"/>
    </row>
    <row r="36" spans="3:15" x14ac:dyDescent="0.25">
      <c r="C36" s="674" t="s">
        <v>270</v>
      </c>
      <c r="D36" s="674"/>
      <c r="E36" s="674"/>
      <c r="F36" s="674"/>
      <c r="G36" s="674"/>
      <c r="H36" s="674"/>
      <c r="I36" s="674"/>
      <c r="J36" s="674"/>
      <c r="K36" s="348"/>
      <c r="L36" s="348"/>
      <c r="M36" s="348"/>
      <c r="N36" s="348"/>
    </row>
    <row r="37" spans="3:15" ht="6.75" customHeight="1" x14ac:dyDescent="0.25">
      <c r="C37" s="369"/>
      <c r="D37" s="369"/>
      <c r="E37" s="369"/>
      <c r="F37" s="369"/>
      <c r="G37" s="369"/>
      <c r="H37" s="369"/>
      <c r="I37" s="369"/>
      <c r="J37" s="369"/>
      <c r="K37" s="348"/>
      <c r="L37" s="348"/>
      <c r="M37" s="348"/>
      <c r="N37" s="348"/>
    </row>
    <row r="38" spans="3:15" ht="15" customHeight="1" x14ac:dyDescent="0.25">
      <c r="C38" s="676" t="s">
        <v>271</v>
      </c>
      <c r="D38" s="676"/>
      <c r="E38" s="676"/>
      <c r="F38" s="676"/>
      <c r="G38" s="676"/>
      <c r="H38" s="676"/>
      <c r="I38" s="676"/>
      <c r="J38" s="676"/>
      <c r="K38" s="676"/>
      <c r="L38" s="676"/>
      <c r="M38" s="676"/>
      <c r="N38" s="676"/>
    </row>
    <row r="39" spans="3:15" ht="8.25" customHeight="1" x14ac:dyDescent="0.25">
      <c r="C39" s="487"/>
      <c r="D39" s="487"/>
      <c r="E39" s="487"/>
      <c r="F39" s="487"/>
      <c r="G39" s="487"/>
      <c r="H39" s="487"/>
      <c r="I39" s="487"/>
      <c r="J39" s="349"/>
      <c r="K39" s="348"/>
      <c r="L39" s="348"/>
      <c r="M39" s="348"/>
      <c r="N39" s="348"/>
    </row>
    <row r="40" spans="3:15" x14ac:dyDescent="0.25">
      <c r="C40" s="348" t="s">
        <v>268</v>
      </c>
      <c r="D40" s="348"/>
      <c r="E40" s="348"/>
      <c r="F40" s="348"/>
      <c r="G40" s="348"/>
      <c r="H40" s="349"/>
      <c r="I40" s="349"/>
      <c r="J40" s="349"/>
      <c r="K40" s="348"/>
      <c r="L40" s="348"/>
      <c r="M40" s="348"/>
      <c r="N40" s="348"/>
    </row>
    <row r="41" spans="3:15" x14ac:dyDescent="0.25">
      <c r="C41" s="492" t="s">
        <v>276</v>
      </c>
      <c r="D41" s="481"/>
      <c r="E41" s="481"/>
      <c r="F41" s="481"/>
      <c r="G41" s="481"/>
      <c r="H41" s="491"/>
      <c r="I41" s="491"/>
      <c r="J41" s="491"/>
      <c r="K41" s="481"/>
      <c r="L41" s="481"/>
      <c r="M41" s="481"/>
      <c r="N41" s="481"/>
    </row>
    <row r="42" spans="3:15" x14ac:dyDescent="0.25">
      <c r="C42" s="352"/>
      <c r="D42"/>
      <c r="H42" s="347"/>
      <c r="I42" s="347"/>
      <c r="J42" s="347"/>
      <c r="K42"/>
      <c r="L42"/>
    </row>
    <row r="44" spans="3:15" x14ac:dyDescent="0.25">
      <c r="G44" s="351"/>
    </row>
  </sheetData>
  <mergeCells count="17">
    <mergeCell ref="B3:Q3"/>
    <mergeCell ref="B5:B10"/>
    <mergeCell ref="C4:P4"/>
    <mergeCell ref="I7:J7"/>
    <mergeCell ref="I8:J8"/>
    <mergeCell ref="M7:N7"/>
    <mergeCell ref="M8:N8"/>
    <mergeCell ref="L7:L9"/>
    <mergeCell ref="C5:C10"/>
    <mergeCell ref="D5:E6"/>
    <mergeCell ref="C35:N35"/>
    <mergeCell ref="C36:J36"/>
    <mergeCell ref="C33:F33"/>
    <mergeCell ref="C38:N38"/>
    <mergeCell ref="F5:H6"/>
    <mergeCell ref="I5:L6"/>
    <mergeCell ref="M5:O6"/>
  </mergeCells>
  <pageMargins left="0.66" right="0.4" top="0.74803149606299213" bottom="0.74803149606299213" header="0.31496062992125984" footer="0.31496062992125984"/>
  <pageSetup paperSize="5" scale="65" orientation="landscape" r:id="rId1"/>
  <ignoredErrors>
    <ignoredError sqref="J10 F10:G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2:I37"/>
  <sheetViews>
    <sheetView workbookViewId="0">
      <selection activeCell="F26" sqref="F26"/>
    </sheetView>
  </sheetViews>
  <sheetFormatPr baseColWidth="10" defaultRowHeight="15" x14ac:dyDescent="0.25"/>
  <cols>
    <col min="1" max="1" width="3.5703125" customWidth="1"/>
    <col min="2" max="2" width="37.5703125" customWidth="1"/>
    <col min="3" max="3" width="38.7109375" customWidth="1"/>
    <col min="4" max="4" width="37.5703125" style="31" customWidth="1"/>
    <col min="5" max="5" width="18.42578125" customWidth="1"/>
    <col min="6" max="6" width="19" customWidth="1"/>
    <col min="7" max="7" width="12.85546875" customWidth="1"/>
    <col min="9" max="9" width="19.42578125" customWidth="1"/>
  </cols>
  <sheetData>
    <row r="2" spans="2:5" x14ac:dyDescent="0.25">
      <c r="B2" s="1"/>
      <c r="C2" s="1"/>
    </row>
    <row r="3" spans="2:5" x14ac:dyDescent="0.25">
      <c r="B3" s="624" t="s">
        <v>314</v>
      </c>
      <c r="C3" s="624"/>
      <c r="D3" s="624"/>
    </row>
    <row r="4" spans="2:5" ht="15.75" thickBot="1" x14ac:dyDescent="0.3">
      <c r="B4" s="691"/>
      <c r="C4" s="691"/>
      <c r="D4" s="691"/>
    </row>
    <row r="5" spans="2:5" ht="15" customHeight="1" x14ac:dyDescent="0.25">
      <c r="B5" s="625" t="s">
        <v>26</v>
      </c>
      <c r="C5" s="61" t="s">
        <v>295</v>
      </c>
      <c r="D5" s="371" t="s">
        <v>296</v>
      </c>
    </row>
    <row r="6" spans="2:5" x14ac:dyDescent="0.25">
      <c r="B6" s="626"/>
      <c r="C6" s="62" t="s">
        <v>296</v>
      </c>
      <c r="D6" s="372" t="s">
        <v>310</v>
      </c>
    </row>
    <row r="7" spans="2:5" x14ac:dyDescent="0.25">
      <c r="B7" s="626"/>
      <c r="C7" s="63">
        <v>2014</v>
      </c>
      <c r="D7" s="372">
        <v>2018</v>
      </c>
    </row>
    <row r="8" spans="2:5" ht="15.75" thickBot="1" x14ac:dyDescent="0.3">
      <c r="B8" s="626"/>
      <c r="C8" s="64" t="s">
        <v>1</v>
      </c>
      <c r="D8" s="508" t="s">
        <v>199</v>
      </c>
    </row>
    <row r="9" spans="2:5" x14ac:dyDescent="0.25">
      <c r="B9" s="49" t="s">
        <v>3</v>
      </c>
      <c r="C9" s="57">
        <v>3.94</v>
      </c>
      <c r="D9" s="81">
        <f>D29*C9%</f>
        <v>764368.80984</v>
      </c>
      <c r="E9" s="15"/>
    </row>
    <row r="10" spans="2:5" x14ac:dyDescent="0.25">
      <c r="B10" s="51" t="s">
        <v>4</v>
      </c>
      <c r="C10" s="58">
        <v>5.78</v>
      </c>
      <c r="D10" s="82">
        <f>C10%*D29</f>
        <v>1121332.9240800003</v>
      </c>
      <c r="E10" s="15"/>
    </row>
    <row r="11" spans="2:5" x14ac:dyDescent="0.25">
      <c r="B11" s="51" t="s">
        <v>5</v>
      </c>
      <c r="C11" s="58">
        <v>6.12</v>
      </c>
      <c r="D11" s="82">
        <f>$D$29*C11%</f>
        <v>1187293.6843200002</v>
      </c>
      <c r="E11" s="15"/>
    </row>
    <row r="12" spans="2:5" x14ac:dyDescent="0.25">
      <c r="B12" s="51" t="s">
        <v>6</v>
      </c>
      <c r="C12" s="58">
        <v>5.08</v>
      </c>
      <c r="D12" s="82">
        <f t="shared" ref="D12:D28" si="0">$D$29*C12%</f>
        <v>985531.35888000007</v>
      </c>
      <c r="E12" s="15"/>
    </row>
    <row r="13" spans="2:5" x14ac:dyDescent="0.25">
      <c r="B13" s="51" t="s">
        <v>7</v>
      </c>
      <c r="C13" s="58">
        <v>3.07</v>
      </c>
      <c r="D13" s="82">
        <f t="shared" si="0"/>
        <v>595586.86452000006</v>
      </c>
      <c r="E13" s="15"/>
    </row>
    <row r="14" spans="2:5" x14ac:dyDescent="0.25">
      <c r="B14" s="51" t="s">
        <v>8</v>
      </c>
      <c r="C14" s="58">
        <v>9.51</v>
      </c>
      <c r="D14" s="82">
        <f t="shared" si="0"/>
        <v>1844961.2643600001</v>
      </c>
      <c r="E14" s="15"/>
    </row>
    <row r="15" spans="2:5" x14ac:dyDescent="0.25">
      <c r="B15" s="51" t="s">
        <v>9</v>
      </c>
      <c r="C15" s="58">
        <v>9.33</v>
      </c>
      <c r="D15" s="82">
        <f t="shared" si="0"/>
        <v>1810040.86188</v>
      </c>
      <c r="E15" s="15"/>
    </row>
    <row r="16" spans="2:5" x14ac:dyDescent="0.25">
      <c r="B16" s="51" t="s">
        <v>10</v>
      </c>
      <c r="C16" s="58">
        <v>4.5199999999999996</v>
      </c>
      <c r="D16" s="82">
        <f t="shared" si="0"/>
        <v>876890.10672000004</v>
      </c>
      <c r="E16" s="15"/>
    </row>
    <row r="17" spans="2:9" x14ac:dyDescent="0.25">
      <c r="B17" s="51" t="s">
        <v>11</v>
      </c>
      <c r="C17" s="58">
        <v>5.08</v>
      </c>
      <c r="D17" s="82">
        <f t="shared" si="0"/>
        <v>985531.35888000007</v>
      </c>
      <c r="E17" s="15"/>
    </row>
    <row r="18" spans="2:9" x14ac:dyDescent="0.25">
      <c r="B18" s="51" t="s">
        <v>12</v>
      </c>
      <c r="C18" s="58">
        <v>8.92</v>
      </c>
      <c r="D18" s="82">
        <f t="shared" si="0"/>
        <v>1730499.94512</v>
      </c>
      <c r="E18" s="15"/>
    </row>
    <row r="19" spans="2:9" x14ac:dyDescent="0.25">
      <c r="B19" s="51" t="s">
        <v>13</v>
      </c>
      <c r="C19" s="58">
        <v>5.0199999999999996</v>
      </c>
      <c r="D19" s="82">
        <f t="shared" si="0"/>
        <v>973891.22471999994</v>
      </c>
      <c r="E19" s="15"/>
    </row>
    <row r="20" spans="2:9" x14ac:dyDescent="0.25">
      <c r="B20" s="51" t="s">
        <v>14</v>
      </c>
      <c r="C20" s="58">
        <v>4.29</v>
      </c>
      <c r="D20" s="82">
        <f t="shared" si="0"/>
        <v>832269.59244000004</v>
      </c>
      <c r="E20" s="15"/>
      <c r="G20" s="35"/>
    </row>
    <row r="21" spans="2:9" x14ac:dyDescent="0.25">
      <c r="B21" s="51" t="s">
        <v>15</v>
      </c>
      <c r="C21" s="58">
        <v>3.04</v>
      </c>
      <c r="D21" s="82">
        <f t="shared" si="0"/>
        <v>589766.79743999999</v>
      </c>
      <c r="E21" s="15"/>
      <c r="G21" s="35"/>
    </row>
    <row r="22" spans="2:9" x14ac:dyDescent="0.25">
      <c r="B22" s="51" t="s">
        <v>16</v>
      </c>
      <c r="C22" s="58">
        <v>6.7</v>
      </c>
      <c r="D22" s="82">
        <f t="shared" si="0"/>
        <v>1299814.9812000003</v>
      </c>
      <c r="E22" s="15"/>
      <c r="G22" s="35"/>
    </row>
    <row r="23" spans="2:9" x14ac:dyDescent="0.25">
      <c r="B23" s="51" t="s">
        <v>17</v>
      </c>
      <c r="C23" s="58">
        <v>5.08</v>
      </c>
      <c r="D23" s="82">
        <f t="shared" si="0"/>
        <v>985531.35888000007</v>
      </c>
      <c r="E23" s="15"/>
      <c r="G23" s="35"/>
    </row>
    <row r="24" spans="2:9" x14ac:dyDescent="0.25">
      <c r="B24" s="51" t="s">
        <v>23</v>
      </c>
      <c r="C24" s="58">
        <v>1.7</v>
      </c>
      <c r="D24" s="82">
        <f t="shared" si="0"/>
        <v>329803.80120000005</v>
      </c>
      <c r="E24" s="15"/>
      <c r="G24" s="35"/>
    </row>
    <row r="25" spans="2:9" x14ac:dyDescent="0.25">
      <c r="B25" s="51" t="s">
        <v>18</v>
      </c>
      <c r="C25" s="58">
        <v>4.08</v>
      </c>
      <c r="D25" s="82">
        <f t="shared" si="0"/>
        <v>791529.12288000016</v>
      </c>
      <c r="E25" s="15"/>
      <c r="G25" s="35"/>
    </row>
    <row r="26" spans="2:9" x14ac:dyDescent="0.25">
      <c r="B26" s="51" t="s">
        <v>19</v>
      </c>
      <c r="C26" s="58">
        <v>0.37</v>
      </c>
      <c r="D26" s="82">
        <f t="shared" si="0"/>
        <v>71780.827320000011</v>
      </c>
      <c r="E26" s="15"/>
    </row>
    <row r="27" spans="2:9" x14ac:dyDescent="0.25">
      <c r="B27" s="51" t="s">
        <v>20</v>
      </c>
      <c r="C27" s="58">
        <v>3.77</v>
      </c>
      <c r="D27" s="82">
        <f t="shared" si="0"/>
        <v>731388.42972000001</v>
      </c>
      <c r="E27" s="15"/>
    </row>
    <row r="28" spans="2:9" ht="15.75" thickBot="1" x14ac:dyDescent="0.3">
      <c r="B28" s="52" t="s">
        <v>21</v>
      </c>
      <c r="C28" s="59">
        <v>4.5999999999999996</v>
      </c>
      <c r="D28" s="82">
        <f t="shared" si="0"/>
        <v>892410.28560000006</v>
      </c>
      <c r="E28" s="15"/>
    </row>
    <row r="29" spans="2:9" ht="15.75" thickBot="1" x14ac:dyDescent="0.3">
      <c r="B29" s="56" t="s">
        <v>22</v>
      </c>
      <c r="C29" s="60">
        <f>SUM(C9:C28)</f>
        <v>100</v>
      </c>
      <c r="D29" s="103">
        <v>19400223.600000001</v>
      </c>
      <c r="E29" s="15"/>
    </row>
    <row r="30" spans="2:9" x14ac:dyDescent="0.25">
      <c r="B30" s="488" t="s">
        <v>265</v>
      </c>
      <c r="C30" s="1"/>
      <c r="I30" s="35"/>
    </row>
    <row r="31" spans="2:9" x14ac:dyDescent="0.25">
      <c r="I31" s="35"/>
    </row>
    <row r="32" spans="2:9" x14ac:dyDescent="0.25">
      <c r="B32" s="325" t="s">
        <v>205</v>
      </c>
      <c r="I32" s="35"/>
    </row>
    <row r="33" spans="2:9" ht="12" customHeight="1" x14ac:dyDescent="0.25">
      <c r="B33" s="692" t="s">
        <v>272</v>
      </c>
      <c r="C33" s="693"/>
      <c r="D33" s="693"/>
      <c r="I33" s="35"/>
    </row>
    <row r="34" spans="2:9" ht="9.75" customHeight="1" x14ac:dyDescent="0.25">
      <c r="B34" s="693"/>
      <c r="C34" s="693"/>
      <c r="D34" s="693"/>
    </row>
    <row r="35" spans="2:9" ht="8.25" customHeight="1" x14ac:dyDescent="0.25">
      <c r="B35" s="693"/>
      <c r="C35" s="693"/>
      <c r="D35" s="693"/>
    </row>
    <row r="36" spans="2:9" ht="8.25" customHeight="1" x14ac:dyDescent="0.25">
      <c r="B36" s="693"/>
      <c r="C36" s="693"/>
      <c r="D36" s="693"/>
    </row>
    <row r="37" spans="2:9" ht="16.5" customHeight="1" x14ac:dyDescent="0.25">
      <c r="B37" s="693"/>
      <c r="C37" s="693"/>
      <c r="D37" s="693"/>
    </row>
  </sheetData>
  <mergeCells count="5">
    <mergeCell ref="B4:D4"/>
    <mergeCell ref="B5:B8"/>
    <mergeCell ref="B33:D34"/>
    <mergeCell ref="B35:D37"/>
    <mergeCell ref="B3:D3"/>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33"/>
  <sheetViews>
    <sheetView workbookViewId="0">
      <selection activeCell="J22" sqref="J22"/>
    </sheetView>
  </sheetViews>
  <sheetFormatPr baseColWidth="10" defaultColWidth="11.42578125" defaultRowHeight="14.25" x14ac:dyDescent="0.2"/>
  <cols>
    <col min="1" max="1" width="3.5703125" style="1" customWidth="1"/>
    <col min="2" max="2" width="20.42578125" style="1" customWidth="1"/>
    <col min="3" max="3" width="17.28515625" style="1" customWidth="1"/>
    <col min="4" max="4" width="16.42578125" style="1" customWidth="1"/>
    <col min="5" max="5" width="14.7109375" style="1" customWidth="1"/>
    <col min="6" max="6" width="14.5703125" style="1" customWidth="1"/>
    <col min="7" max="7" width="18.5703125" style="1" customWidth="1"/>
    <col min="8" max="8" width="16.7109375" style="2" customWidth="1"/>
    <col min="9" max="16384" width="11.42578125" style="1"/>
  </cols>
  <sheetData>
    <row r="2" spans="2:8" ht="15" customHeight="1" x14ac:dyDescent="0.25">
      <c r="B2" s="624" t="s">
        <v>257</v>
      </c>
      <c r="C2" s="624"/>
      <c r="D2" s="624"/>
      <c r="E2" s="624"/>
      <c r="F2" s="624"/>
      <c r="G2" s="624"/>
      <c r="H2" s="624"/>
    </row>
    <row r="3" spans="2:8" ht="16.5" thickBot="1" x14ac:dyDescent="0.3">
      <c r="B3" s="695"/>
      <c r="C3" s="695"/>
      <c r="D3" s="695"/>
      <c r="E3" s="695"/>
      <c r="F3" s="695"/>
      <c r="G3" s="695"/>
      <c r="H3" s="695"/>
    </row>
    <row r="4" spans="2:8" ht="15.75" customHeight="1" x14ac:dyDescent="0.25">
      <c r="B4" s="696" t="s">
        <v>26</v>
      </c>
      <c r="C4" s="71" t="s">
        <v>295</v>
      </c>
      <c r="D4" s="71" t="s">
        <v>315</v>
      </c>
      <c r="E4" s="696" t="s">
        <v>282</v>
      </c>
      <c r="F4" s="699"/>
      <c r="G4" s="702" t="s">
        <v>352</v>
      </c>
      <c r="H4" s="702" t="s">
        <v>353</v>
      </c>
    </row>
    <row r="5" spans="2:8" ht="15.75" thickBot="1" x14ac:dyDescent="0.3">
      <c r="B5" s="697"/>
      <c r="C5" s="72" t="s">
        <v>296</v>
      </c>
      <c r="D5" s="72" t="s">
        <v>316</v>
      </c>
      <c r="E5" s="697">
        <v>2015</v>
      </c>
      <c r="F5" s="700"/>
      <c r="G5" s="703"/>
      <c r="H5" s="703"/>
    </row>
    <row r="6" spans="2:8" ht="15" x14ac:dyDescent="0.25">
      <c r="B6" s="697"/>
      <c r="C6" s="75">
        <v>2014</v>
      </c>
      <c r="D6" s="75" t="s">
        <v>51</v>
      </c>
      <c r="E6" s="350" t="s">
        <v>284</v>
      </c>
      <c r="F6" s="71" t="s">
        <v>286</v>
      </c>
      <c r="G6" s="703"/>
      <c r="H6" s="703"/>
    </row>
    <row r="7" spans="2:8" ht="15.75" thickBot="1" x14ac:dyDescent="0.3">
      <c r="B7" s="698"/>
      <c r="C7" s="86" t="s">
        <v>1</v>
      </c>
      <c r="D7" s="86" t="s">
        <v>2</v>
      </c>
      <c r="E7" s="76" t="s">
        <v>25</v>
      </c>
      <c r="F7" s="86" t="s">
        <v>24</v>
      </c>
      <c r="G7" s="218" t="s">
        <v>66</v>
      </c>
      <c r="H7" s="86" t="s">
        <v>71</v>
      </c>
    </row>
    <row r="8" spans="2:8" x14ac:dyDescent="0.2">
      <c r="B8" s="51" t="s">
        <v>3</v>
      </c>
      <c r="C8" s="58">
        <v>3.65</v>
      </c>
      <c r="D8" s="191">
        <v>1418873.625</v>
      </c>
      <c r="E8" s="92">
        <f>CENSO!C10</f>
        <v>37309</v>
      </c>
      <c r="F8" s="251">
        <f>E8/$E$28*100</f>
        <v>3.1589687142796663</v>
      </c>
      <c r="G8" s="83">
        <v>393998.80957182165</v>
      </c>
      <c r="H8" s="84">
        <f>D8+G8</f>
        <v>1812872.4345718217</v>
      </c>
    </row>
    <row r="9" spans="2:8" x14ac:dyDescent="0.2">
      <c r="B9" s="51" t="s">
        <v>4</v>
      </c>
      <c r="C9" s="58">
        <v>1.49</v>
      </c>
      <c r="D9" s="191">
        <v>579211.42500000005</v>
      </c>
      <c r="E9" s="89">
        <f>CENSO!C11</f>
        <v>15953</v>
      </c>
      <c r="F9" s="252">
        <f t="shared" ref="F9:F27" si="0">E9/$E$28*100</f>
        <v>1.3507472164599297</v>
      </c>
      <c r="G9" s="83">
        <v>168470.42293010457</v>
      </c>
      <c r="H9" s="84">
        <f t="shared" ref="H9:H27" si="1">D9+G9</f>
        <v>747681.84793010459</v>
      </c>
    </row>
    <row r="10" spans="2:8" x14ac:dyDescent="0.2">
      <c r="B10" s="51" t="s">
        <v>5</v>
      </c>
      <c r="C10" s="58">
        <v>1.0900000000000001</v>
      </c>
      <c r="D10" s="191">
        <v>423718.42499999999</v>
      </c>
      <c r="E10" s="89">
        <f>CENSO!C12</f>
        <v>11851</v>
      </c>
      <c r="F10" s="252">
        <f t="shared" si="0"/>
        <v>1.0034291520257399</v>
      </c>
      <c r="G10" s="83">
        <v>125151.56911832692</v>
      </c>
      <c r="H10" s="84">
        <f t="shared" si="1"/>
        <v>548869.99411832693</v>
      </c>
    </row>
    <row r="11" spans="2:8" x14ac:dyDescent="0.2">
      <c r="B11" s="51" t="s">
        <v>6</v>
      </c>
      <c r="C11" s="58">
        <v>8.82</v>
      </c>
      <c r="D11" s="191">
        <v>3428620.65</v>
      </c>
      <c r="E11" s="89">
        <f>CENSO!C13</f>
        <v>150250</v>
      </c>
      <c r="F11" s="252">
        <f t="shared" si="0"/>
        <v>12.721730663392744</v>
      </c>
      <c r="G11" s="83">
        <v>1586703.5068794717</v>
      </c>
      <c r="H11" s="84">
        <f t="shared" si="1"/>
        <v>5015324.1568794716</v>
      </c>
    </row>
    <row r="12" spans="2:8" x14ac:dyDescent="0.2">
      <c r="B12" s="51" t="s">
        <v>7</v>
      </c>
      <c r="C12" s="58">
        <v>6.63</v>
      </c>
      <c r="D12" s="191">
        <v>2577296.4750000001</v>
      </c>
      <c r="E12" s="89">
        <f>CENSO!C14</f>
        <v>75520</v>
      </c>
      <c r="F12" s="252">
        <f t="shared" si="0"/>
        <v>6.3943101477498834</v>
      </c>
      <c r="G12" s="83">
        <v>797523.12039625761</v>
      </c>
      <c r="H12" s="84">
        <f t="shared" si="1"/>
        <v>3374819.5953962579</v>
      </c>
    </row>
    <row r="13" spans="2:8" x14ac:dyDescent="0.2">
      <c r="B13" s="51" t="s">
        <v>8</v>
      </c>
      <c r="C13" s="58">
        <v>3.22</v>
      </c>
      <c r="D13" s="191">
        <v>1251718.6500000001</v>
      </c>
      <c r="E13" s="89">
        <f>CENSO!C15</f>
        <v>42514</v>
      </c>
      <c r="F13" s="252">
        <f t="shared" si="0"/>
        <v>3.5996782524025233</v>
      </c>
      <c r="G13" s="83">
        <v>448965.80959383602</v>
      </c>
      <c r="H13" s="84">
        <f t="shared" si="1"/>
        <v>1700684.4595938362</v>
      </c>
    </row>
    <row r="14" spans="2:8" x14ac:dyDescent="0.2">
      <c r="B14" s="51" t="s">
        <v>9</v>
      </c>
      <c r="C14" s="58">
        <v>1.1100000000000001</v>
      </c>
      <c r="D14" s="191">
        <v>431493.07500000001</v>
      </c>
      <c r="E14" s="89">
        <f>CENSO!C16</f>
        <v>12614</v>
      </c>
      <c r="F14" s="252">
        <f t="shared" si="0"/>
        <v>1.0680326827822699</v>
      </c>
      <c r="G14" s="83">
        <v>133209.17161915245</v>
      </c>
      <c r="H14" s="84">
        <f t="shared" si="1"/>
        <v>564702.24661915249</v>
      </c>
    </row>
    <row r="15" spans="2:8" x14ac:dyDescent="0.2">
      <c r="B15" s="51" t="s">
        <v>10</v>
      </c>
      <c r="C15" s="58">
        <v>2.71</v>
      </c>
      <c r="D15" s="191">
        <v>1053465.075</v>
      </c>
      <c r="E15" s="89">
        <f>CENSO!C17</f>
        <v>29416</v>
      </c>
      <c r="F15" s="252">
        <f t="shared" si="0"/>
        <v>2.4906650861521529</v>
      </c>
      <c r="G15" s="83">
        <v>310645.39340011007</v>
      </c>
      <c r="H15" s="84">
        <f t="shared" si="1"/>
        <v>1364110.46840011</v>
      </c>
    </row>
    <row r="16" spans="2:8" x14ac:dyDescent="0.2">
      <c r="B16" s="51" t="s">
        <v>11</v>
      </c>
      <c r="C16" s="58">
        <v>1.69</v>
      </c>
      <c r="D16" s="191">
        <v>656957.92499999993</v>
      </c>
      <c r="E16" s="89">
        <f>CENSO!C18</f>
        <v>18580</v>
      </c>
      <c r="F16" s="252">
        <f t="shared" si="0"/>
        <v>1.5731764108208799</v>
      </c>
      <c r="G16" s="83">
        <v>196212.65329664285</v>
      </c>
      <c r="H16" s="84">
        <f t="shared" si="1"/>
        <v>853170.57829664275</v>
      </c>
    </row>
    <row r="17" spans="2:10" x14ac:dyDescent="0.2">
      <c r="B17" s="51" t="s">
        <v>12</v>
      </c>
      <c r="C17" s="58">
        <v>1.27</v>
      </c>
      <c r="D17" s="191">
        <v>493690.27500000002</v>
      </c>
      <c r="E17" s="89">
        <f>CENSO!C19</f>
        <v>14315</v>
      </c>
      <c r="F17" s="252">
        <f t="shared" si="0"/>
        <v>1.212057067863342</v>
      </c>
      <c r="G17" s="83">
        <v>151172.45058888278</v>
      </c>
      <c r="H17" s="84">
        <f t="shared" si="1"/>
        <v>644862.72558888281</v>
      </c>
    </row>
    <row r="18" spans="2:10" x14ac:dyDescent="0.2">
      <c r="B18" s="51" t="s">
        <v>13</v>
      </c>
      <c r="C18" s="58">
        <v>3.39</v>
      </c>
      <c r="D18" s="191">
        <v>1317803.175</v>
      </c>
      <c r="E18" s="89">
        <f>CENSO!C20</f>
        <v>33901</v>
      </c>
      <c r="F18" s="252">
        <f t="shared" si="0"/>
        <v>2.8704119215951907</v>
      </c>
      <c r="G18" s="83">
        <v>358008.88909631257</v>
      </c>
      <c r="H18" s="84">
        <f t="shared" si="1"/>
        <v>1675812.0640963125</v>
      </c>
    </row>
    <row r="19" spans="2:10" x14ac:dyDescent="0.2">
      <c r="B19" s="51" t="s">
        <v>14</v>
      </c>
      <c r="C19" s="58">
        <v>2.21</v>
      </c>
      <c r="D19" s="191">
        <v>859098.82499999995</v>
      </c>
      <c r="E19" s="89">
        <f>CENSO!C21</f>
        <v>24743</v>
      </c>
      <c r="F19" s="252">
        <f t="shared" si="0"/>
        <v>2.0950002116760511</v>
      </c>
      <c r="G19" s="83">
        <v>261296.5382410567</v>
      </c>
      <c r="H19" s="84">
        <f t="shared" si="1"/>
        <v>1120395.3632410567</v>
      </c>
    </row>
    <row r="20" spans="2:10" x14ac:dyDescent="0.2">
      <c r="B20" s="51" t="s">
        <v>15</v>
      </c>
      <c r="C20" s="58">
        <v>3.95</v>
      </c>
      <c r="D20" s="191">
        <v>1535493.375</v>
      </c>
      <c r="E20" s="89">
        <f>CENSO!C22</f>
        <v>43979</v>
      </c>
      <c r="F20" s="252">
        <f t="shared" si="0"/>
        <v>3.7237204182718768</v>
      </c>
      <c r="G20" s="83">
        <v>464436.82881232799</v>
      </c>
      <c r="H20" s="84">
        <f t="shared" si="1"/>
        <v>1999930.2038123279</v>
      </c>
    </row>
    <row r="21" spans="2:10" x14ac:dyDescent="0.2">
      <c r="B21" s="51" t="s">
        <v>16</v>
      </c>
      <c r="C21" s="58">
        <v>0.75</v>
      </c>
      <c r="D21" s="191">
        <v>291549.375</v>
      </c>
      <c r="E21" s="89">
        <f>CENSO!C23</f>
        <v>7499</v>
      </c>
      <c r="F21" s="252">
        <f t="shared" si="0"/>
        <v>0.63494348249439059</v>
      </c>
      <c r="G21" s="83">
        <v>79192.609637864618</v>
      </c>
      <c r="H21" s="84">
        <f t="shared" si="1"/>
        <v>370741.98463786463</v>
      </c>
    </row>
    <row r="22" spans="2:10" x14ac:dyDescent="0.2">
      <c r="B22" s="51" t="s">
        <v>17</v>
      </c>
      <c r="C22" s="58">
        <v>2.2799999999999998</v>
      </c>
      <c r="D22" s="191">
        <v>886310.09999999986</v>
      </c>
      <c r="E22" s="89">
        <f>CENSO!C24</f>
        <v>23477</v>
      </c>
      <c r="F22" s="252">
        <f t="shared" si="0"/>
        <v>1.9878074594640365</v>
      </c>
      <c r="G22" s="83">
        <v>247927.04313483767</v>
      </c>
      <c r="H22" s="84">
        <f t="shared" si="1"/>
        <v>1134237.1431348375</v>
      </c>
    </row>
    <row r="23" spans="2:10" x14ac:dyDescent="0.2">
      <c r="B23" s="51" t="s">
        <v>23</v>
      </c>
      <c r="C23" s="58">
        <v>8.8800000000000008</v>
      </c>
      <c r="D23" s="191">
        <v>3451944.6</v>
      </c>
      <c r="E23" s="89">
        <f>CENSO!C25</f>
        <v>97820</v>
      </c>
      <c r="F23" s="252">
        <f t="shared" si="0"/>
        <v>8.2824605224164927</v>
      </c>
      <c r="G23" s="83">
        <v>1033020.5460429278</v>
      </c>
      <c r="H23" s="84">
        <f t="shared" si="1"/>
        <v>4484965.1460429281</v>
      </c>
    </row>
    <row r="24" spans="2:10" x14ac:dyDescent="0.2">
      <c r="B24" s="51" t="s">
        <v>18</v>
      </c>
      <c r="C24" s="58">
        <v>3.92</v>
      </c>
      <c r="D24" s="191">
        <v>1523831.4000000001</v>
      </c>
      <c r="E24" s="89">
        <f>CENSO!C26</f>
        <v>39718</v>
      </c>
      <c r="F24" s="252">
        <f t="shared" si="0"/>
        <v>3.3629397569958934</v>
      </c>
      <c r="G24" s="83">
        <v>419438.86779526691</v>
      </c>
      <c r="H24" s="84">
        <f t="shared" si="1"/>
        <v>1943270.267795267</v>
      </c>
    </row>
    <row r="25" spans="2:10" x14ac:dyDescent="0.2">
      <c r="B25" s="51" t="s">
        <v>19</v>
      </c>
      <c r="C25" s="58">
        <v>35.42</v>
      </c>
      <c r="D25" s="191">
        <v>13768905.15</v>
      </c>
      <c r="E25" s="89">
        <f>CENSO!C27</f>
        <v>413608</v>
      </c>
      <c r="F25" s="252">
        <f t="shared" si="0"/>
        <v>35.020363236103471</v>
      </c>
      <c r="G25" s="83">
        <v>4367875.3016532743</v>
      </c>
      <c r="H25" s="84">
        <f t="shared" si="1"/>
        <v>18136780.451653276</v>
      </c>
    </row>
    <row r="26" spans="2:10" x14ac:dyDescent="0.2">
      <c r="B26" s="51" t="s">
        <v>20</v>
      </c>
      <c r="C26" s="58">
        <v>3</v>
      </c>
      <c r="D26" s="191">
        <v>1166197.5</v>
      </c>
      <c r="E26" s="89">
        <f>CENSO!C28</f>
        <v>30565</v>
      </c>
      <c r="F26" s="252">
        <f t="shared" si="0"/>
        <v>2.5879513991786967</v>
      </c>
      <c r="G26" s="83">
        <v>322779.31905338465</v>
      </c>
      <c r="H26" s="84">
        <f t="shared" si="1"/>
        <v>1488976.8190533847</v>
      </c>
    </row>
    <row r="27" spans="2:10" ht="15" thickBot="1" x14ac:dyDescent="0.25">
      <c r="B27" s="51" t="s">
        <v>21</v>
      </c>
      <c r="C27" s="58">
        <v>4.5199999999999996</v>
      </c>
      <c r="D27" s="191">
        <v>1757070.9</v>
      </c>
      <c r="E27" s="96">
        <f>CENSO!C29</f>
        <v>57418</v>
      </c>
      <c r="F27" s="253">
        <f t="shared" si="0"/>
        <v>4.8616061978747727</v>
      </c>
      <c r="G27" s="83">
        <v>606358.34913813986</v>
      </c>
      <c r="H27" s="84">
        <f t="shared" si="1"/>
        <v>2363429.2491381397</v>
      </c>
    </row>
    <row r="28" spans="2:10" ht="15.75" thickBot="1" x14ac:dyDescent="0.3">
      <c r="B28" s="56" t="s">
        <v>22</v>
      </c>
      <c r="C28" s="60">
        <f>SUM(C8:C27)</f>
        <v>100.00000000000001</v>
      </c>
      <c r="D28" s="160">
        <f>SUM(D8:D27)</f>
        <v>38873250</v>
      </c>
      <c r="E28" s="192">
        <f>SUM(E8:E27)</f>
        <v>1181050</v>
      </c>
      <c r="F28" s="161">
        <f>SUM(F8:F27)</f>
        <v>100.00000000000001</v>
      </c>
      <c r="G28" s="85">
        <f>SUM(G8:G27)</f>
        <v>12472387.200000001</v>
      </c>
      <c r="H28" s="466">
        <f>D28+G28</f>
        <v>51345637.200000003</v>
      </c>
    </row>
    <row r="29" spans="2:10" ht="24" customHeight="1" x14ac:dyDescent="0.2">
      <c r="B29" s="488" t="s">
        <v>265</v>
      </c>
      <c r="G29" s="18"/>
    </row>
    <row r="30" spans="2:10" ht="15" x14ac:dyDescent="0.25">
      <c r="B30" t="s">
        <v>215</v>
      </c>
      <c r="C30"/>
      <c r="D30"/>
      <c r="E30"/>
      <c r="F30" s="351"/>
      <c r="G30" s="351"/>
      <c r="H30"/>
      <c r="I30" s="31"/>
      <c r="J30" s="31"/>
    </row>
    <row r="31" spans="2:10" ht="48" customHeight="1" x14ac:dyDescent="0.2">
      <c r="B31" s="701" t="s">
        <v>273</v>
      </c>
      <c r="C31" s="701"/>
      <c r="D31" s="701"/>
      <c r="E31" s="701"/>
      <c r="F31" s="701"/>
      <c r="G31" s="701"/>
      <c r="H31" s="701"/>
      <c r="I31" s="454"/>
      <c r="J31" s="454"/>
    </row>
    <row r="32" spans="2:10" ht="15" x14ac:dyDescent="0.2">
      <c r="B32" s="694" t="s">
        <v>277</v>
      </c>
      <c r="C32" s="694"/>
      <c r="D32" s="694"/>
      <c r="E32" s="694"/>
      <c r="F32" s="694"/>
      <c r="G32" s="694"/>
      <c r="H32" s="694"/>
      <c r="I32" s="694"/>
      <c r="J32" s="694"/>
    </row>
    <row r="33" spans="2:10" ht="15" x14ac:dyDescent="0.2">
      <c r="B33" s="640"/>
      <c r="C33" s="640"/>
      <c r="D33" s="640"/>
      <c r="E33" s="640"/>
      <c r="F33" s="640"/>
      <c r="G33" s="640"/>
      <c r="H33" s="640"/>
      <c r="I33" s="640"/>
      <c r="J33" s="640"/>
    </row>
  </sheetData>
  <mergeCells count="10">
    <mergeCell ref="B2:H2"/>
    <mergeCell ref="B32:J32"/>
    <mergeCell ref="B33:J33"/>
    <mergeCell ref="B3:H3"/>
    <mergeCell ref="B4:B7"/>
    <mergeCell ref="E4:F4"/>
    <mergeCell ref="E5:F5"/>
    <mergeCell ref="B31:H31"/>
    <mergeCell ref="G4:G6"/>
    <mergeCell ref="H4:H6"/>
  </mergeCells>
  <pageMargins left="0.51" right="0.70866141732283472" top="0.56000000000000005"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2:N36"/>
  <sheetViews>
    <sheetView zoomScaleNormal="100" workbookViewId="0">
      <selection activeCell="Q28" sqref="Q28"/>
    </sheetView>
  </sheetViews>
  <sheetFormatPr baseColWidth="10" defaultRowHeight="15" x14ac:dyDescent="0.25"/>
  <cols>
    <col min="1" max="1" width="3.5703125" customWidth="1"/>
    <col min="2" max="2" width="20.42578125" customWidth="1"/>
    <col min="3" max="3" width="11.5703125" customWidth="1"/>
    <col min="4" max="4" width="14.28515625" customWidth="1"/>
    <col min="5" max="5" width="15.7109375" customWidth="1"/>
    <col min="6" max="6" width="15" customWidth="1"/>
    <col min="7" max="7" width="11.140625" style="326" customWidth="1"/>
    <col min="8" max="8" width="13.42578125" style="326" customWidth="1"/>
    <col min="9" max="9" width="13.85546875" customWidth="1"/>
    <col min="10" max="10" width="13.5703125" style="31" customWidth="1"/>
    <col min="11" max="11" width="15.85546875" style="31" customWidth="1"/>
    <col min="12" max="14" width="0" hidden="1" customWidth="1"/>
  </cols>
  <sheetData>
    <row r="2" spans="2:14" x14ac:dyDescent="0.25">
      <c r="B2" s="684" t="s">
        <v>317</v>
      </c>
      <c r="C2" s="684"/>
      <c r="D2" s="684"/>
      <c r="E2" s="684"/>
      <c r="F2" s="684"/>
      <c r="G2" s="684"/>
      <c r="H2" s="684"/>
      <c r="I2" s="684"/>
      <c r="J2" s="684"/>
      <c r="K2" s="684"/>
    </row>
    <row r="3" spans="2:14" ht="15.75" thickBot="1" x14ac:dyDescent="0.3"/>
    <row r="4" spans="2:14" ht="15" customHeight="1" x14ac:dyDescent="0.25">
      <c r="B4" s="668" t="s">
        <v>26</v>
      </c>
      <c r="C4" s="196" t="s">
        <v>295</v>
      </c>
      <c r="D4" s="333" t="s">
        <v>315</v>
      </c>
      <c r="E4" s="671" t="s">
        <v>318</v>
      </c>
      <c r="F4" s="671" t="s">
        <v>320</v>
      </c>
      <c r="G4" s="198" t="s">
        <v>282</v>
      </c>
      <c r="H4" s="197" t="s">
        <v>321</v>
      </c>
      <c r="I4" s="704" t="s">
        <v>285</v>
      </c>
      <c r="J4" s="704" t="s">
        <v>323</v>
      </c>
      <c r="K4" s="704" t="s">
        <v>324</v>
      </c>
    </row>
    <row r="5" spans="2:14" x14ac:dyDescent="0.25">
      <c r="B5" s="706"/>
      <c r="C5" s="199" t="s">
        <v>296</v>
      </c>
      <c r="D5" s="334" t="s">
        <v>316</v>
      </c>
      <c r="E5" s="708"/>
      <c r="F5" s="708"/>
      <c r="G5" s="201">
        <v>2015</v>
      </c>
      <c r="H5" s="200" t="s">
        <v>322</v>
      </c>
      <c r="I5" s="705"/>
      <c r="J5" s="705"/>
      <c r="K5" s="705"/>
    </row>
    <row r="6" spans="2:14" x14ac:dyDescent="0.25">
      <c r="B6" s="706"/>
      <c r="C6" s="202">
        <v>2014</v>
      </c>
      <c r="D6" s="335" t="s">
        <v>51</v>
      </c>
      <c r="E6" s="201" t="s">
        <v>319</v>
      </c>
      <c r="F6" s="708"/>
      <c r="G6" s="201"/>
      <c r="H6" s="200" t="s">
        <v>282</v>
      </c>
      <c r="I6" s="705"/>
      <c r="J6" s="200">
        <v>2018</v>
      </c>
      <c r="K6" s="705"/>
    </row>
    <row r="7" spans="2:14" ht="15.75" thickBot="1" x14ac:dyDescent="0.3">
      <c r="B7" s="707"/>
      <c r="C7" s="203" t="s">
        <v>1</v>
      </c>
      <c r="D7" s="336" t="s">
        <v>2</v>
      </c>
      <c r="E7" s="337" t="s">
        <v>25</v>
      </c>
      <c r="F7" s="338" t="s">
        <v>24</v>
      </c>
      <c r="G7" s="337" t="s">
        <v>66</v>
      </c>
      <c r="H7" s="339" t="s">
        <v>103</v>
      </c>
      <c r="I7" s="340" t="s">
        <v>104</v>
      </c>
      <c r="J7" s="339" t="s">
        <v>86</v>
      </c>
      <c r="K7" s="204" t="s">
        <v>107</v>
      </c>
      <c r="L7" s="225" t="s">
        <v>185</v>
      </c>
      <c r="M7" s="225" t="s">
        <v>184</v>
      </c>
      <c r="N7" s="226"/>
    </row>
    <row r="8" spans="2:14" x14ac:dyDescent="0.25">
      <c r="B8" s="189" t="s">
        <v>3</v>
      </c>
      <c r="C8" s="187">
        <v>3.65</v>
      </c>
      <c r="D8" s="341">
        <v>1608902.6625000001</v>
      </c>
      <c r="E8" s="69">
        <f>'Predial y Agua'!H6</f>
        <v>9587479</v>
      </c>
      <c r="F8" s="222">
        <f>E8/$E$28*100</f>
        <v>1.8025064307742125</v>
      </c>
      <c r="G8" s="342">
        <f>CENSO!C10</f>
        <v>37309</v>
      </c>
      <c r="H8" s="209">
        <f>F8*G8</f>
        <v>67249.712425755089</v>
      </c>
      <c r="I8" s="157">
        <f>H8/H$28*100</f>
        <v>0.30783639567683346</v>
      </c>
      <c r="J8" s="210">
        <f>$J$28*I8/100</f>
        <v>66205.647970872873</v>
      </c>
      <c r="K8" s="211">
        <f t="shared" ref="K8:K27" si="0">D8+J8</f>
        <v>1675108.310470873</v>
      </c>
      <c r="L8" s="227">
        <f>I8</f>
        <v>0.30783639567683346</v>
      </c>
      <c r="M8" s="226">
        <v>0.307836</v>
      </c>
      <c r="N8" s="227">
        <f>L8-M8</f>
        <v>3.9567683346453109E-7</v>
      </c>
    </row>
    <row r="9" spans="2:14" x14ac:dyDescent="0.25">
      <c r="B9" s="87" t="s">
        <v>4</v>
      </c>
      <c r="C9" s="188">
        <v>1.49</v>
      </c>
      <c r="D9" s="343">
        <v>656784.92249999999</v>
      </c>
      <c r="E9" s="70">
        <f>'Predial y Agua'!H7</f>
        <v>4153474</v>
      </c>
      <c r="F9" s="223">
        <f t="shared" ref="F9:F27" si="1">E9/$E$28*100</f>
        <v>0.78087926920658612</v>
      </c>
      <c r="G9" s="308">
        <f>CENSO!C11</f>
        <v>15953</v>
      </c>
      <c r="H9" s="212">
        <f t="shared" ref="H9:H27" si="2">F9*G9</f>
        <v>12457.366981652669</v>
      </c>
      <c r="I9" s="158">
        <f t="shared" ref="I9:I28" si="3">H9/H$28*100</f>
        <v>5.702375241365195E-2</v>
      </c>
      <c r="J9" s="213">
        <f t="shared" ref="J9:J27" si="4">$J$28*I9/100</f>
        <v>12263.964012363749</v>
      </c>
      <c r="K9" s="214">
        <f t="shared" si="0"/>
        <v>669048.88651236368</v>
      </c>
      <c r="L9" s="227">
        <f t="shared" ref="L9:L27" si="5">I9</f>
        <v>5.702375241365195E-2</v>
      </c>
      <c r="M9" s="226">
        <v>5.7023999999999998E-2</v>
      </c>
      <c r="N9" s="227">
        <f t="shared" ref="N9:N27" si="6">L9-M9</f>
        <v>-2.4758634804833424E-7</v>
      </c>
    </row>
    <row r="10" spans="2:14" x14ac:dyDescent="0.25">
      <c r="B10" s="87" t="s">
        <v>5</v>
      </c>
      <c r="C10" s="188">
        <v>1.0900000000000001</v>
      </c>
      <c r="D10" s="343">
        <v>480466.82250000001</v>
      </c>
      <c r="E10" s="70">
        <f>'Predial y Agua'!H8</f>
        <v>3784530</v>
      </c>
      <c r="F10" s="223">
        <f t="shared" si="1"/>
        <v>0.71151547371920498</v>
      </c>
      <c r="G10" s="308">
        <f>CENSO!C12</f>
        <v>11851</v>
      </c>
      <c r="H10" s="212">
        <f t="shared" si="2"/>
        <v>8432.1698790462979</v>
      </c>
      <c r="I10" s="158">
        <f t="shared" si="3"/>
        <v>3.8598362575395471E-2</v>
      </c>
      <c r="J10" s="213">
        <f t="shared" si="4"/>
        <v>8301.2588531001238</v>
      </c>
      <c r="K10" s="214">
        <f t="shared" si="0"/>
        <v>488768.08135310013</v>
      </c>
      <c r="L10" s="227">
        <f t="shared" si="5"/>
        <v>3.8598362575395471E-2</v>
      </c>
      <c r="M10" s="226">
        <v>3.8598E-2</v>
      </c>
      <c r="N10" s="227">
        <f t="shared" si="6"/>
        <v>3.6257539547113193E-7</v>
      </c>
    </row>
    <row r="11" spans="2:14" x14ac:dyDescent="0.25">
      <c r="B11" s="87" t="s">
        <v>6</v>
      </c>
      <c r="C11" s="188">
        <v>8.82</v>
      </c>
      <c r="D11" s="343">
        <v>3887814.1050000004</v>
      </c>
      <c r="E11" s="70">
        <f>'Predial y Agua'!H9</f>
        <v>214394286</v>
      </c>
      <c r="F11" s="223">
        <f t="shared" si="1"/>
        <v>40.307475952358871</v>
      </c>
      <c r="G11" s="308">
        <f>CENSO!C13</f>
        <v>150250</v>
      </c>
      <c r="H11" s="212">
        <f t="shared" si="2"/>
        <v>6056198.2618419202</v>
      </c>
      <c r="I11" s="158">
        <f t="shared" si="3"/>
        <v>27.722322924249848</v>
      </c>
      <c r="J11" s="213">
        <f t="shared" si="4"/>
        <v>5962174.6428727023</v>
      </c>
      <c r="K11" s="214">
        <f t="shared" si="0"/>
        <v>9849988.7478727028</v>
      </c>
      <c r="L11" s="227">
        <f t="shared" si="5"/>
        <v>27.722322924249848</v>
      </c>
      <c r="M11" s="226">
        <v>27.722322999999999</v>
      </c>
      <c r="N11" s="227">
        <f t="shared" si="6"/>
        <v>-7.5750151040665514E-8</v>
      </c>
    </row>
    <row r="12" spans="2:14" x14ac:dyDescent="0.25">
      <c r="B12" s="87" t="s">
        <v>7</v>
      </c>
      <c r="C12" s="188">
        <v>6.63</v>
      </c>
      <c r="D12" s="343">
        <v>2922472.5074999998</v>
      </c>
      <c r="E12" s="70">
        <f>'Predial y Agua'!H10</f>
        <v>23134391</v>
      </c>
      <c r="F12" s="223">
        <f t="shared" si="1"/>
        <v>4.3494112007489205</v>
      </c>
      <c r="G12" s="308">
        <f>CENSO!C14</f>
        <v>75520</v>
      </c>
      <c r="H12" s="212">
        <f t="shared" si="2"/>
        <v>328467.53388055851</v>
      </c>
      <c r="I12" s="158">
        <f t="shared" si="3"/>
        <v>1.5035642247285637</v>
      </c>
      <c r="J12" s="213">
        <f t="shared" si="4"/>
        <v>323368.01353560347</v>
      </c>
      <c r="K12" s="214">
        <f t="shared" si="0"/>
        <v>3245840.5210356032</v>
      </c>
      <c r="L12" s="227">
        <f t="shared" si="5"/>
        <v>1.5035642247285637</v>
      </c>
      <c r="M12" s="226">
        <v>1.5035639999999999</v>
      </c>
      <c r="N12" s="227">
        <f t="shared" si="6"/>
        <v>2.2472856375799211E-7</v>
      </c>
    </row>
    <row r="13" spans="2:14" x14ac:dyDescent="0.25">
      <c r="B13" s="87" t="s">
        <v>8</v>
      </c>
      <c r="C13" s="188">
        <v>3.22</v>
      </c>
      <c r="D13" s="343">
        <v>1419360.7050000001</v>
      </c>
      <c r="E13" s="70">
        <f>'Predial y Agua'!H11</f>
        <v>287635</v>
      </c>
      <c r="F13" s="223">
        <f t="shared" si="1"/>
        <v>5.4077191430170597E-2</v>
      </c>
      <c r="G13" s="308">
        <f>CENSO!C15</f>
        <v>42514</v>
      </c>
      <c r="H13" s="212">
        <f t="shared" si="2"/>
        <v>2299.0377164622728</v>
      </c>
      <c r="I13" s="158">
        <f t="shared" si="3"/>
        <v>1.0523873762912932E-2</v>
      </c>
      <c r="J13" s="213">
        <f t="shared" si="4"/>
        <v>2263.3447227882566</v>
      </c>
      <c r="K13" s="214">
        <f t="shared" si="0"/>
        <v>1421624.0497227884</v>
      </c>
      <c r="L13" s="227">
        <f t="shared" si="5"/>
        <v>1.0523873762912932E-2</v>
      </c>
      <c r="M13" s="226">
        <v>1.0524E-2</v>
      </c>
      <c r="N13" s="227">
        <f t="shared" si="6"/>
        <v>-1.2623708706832604E-7</v>
      </c>
    </row>
    <row r="14" spans="2:14" x14ac:dyDescent="0.25">
      <c r="B14" s="87" t="s">
        <v>9</v>
      </c>
      <c r="C14" s="188">
        <v>1.1100000000000001</v>
      </c>
      <c r="D14" s="343">
        <v>489282.72749999998</v>
      </c>
      <c r="E14" s="70">
        <f>'Predial y Agua'!H12</f>
        <v>62501</v>
      </c>
      <c r="F14" s="223">
        <f t="shared" si="1"/>
        <v>1.1750581610642281E-2</v>
      </c>
      <c r="G14" s="308">
        <f>CENSO!C16</f>
        <v>12614</v>
      </c>
      <c r="H14" s="212">
        <f t="shared" si="2"/>
        <v>148.22183643664172</v>
      </c>
      <c r="I14" s="158">
        <f t="shared" si="3"/>
        <v>6.7848730118557992E-4</v>
      </c>
      <c r="J14" s="213">
        <f t="shared" si="4"/>
        <v>145.92066450179198</v>
      </c>
      <c r="K14" s="214">
        <f t="shared" si="0"/>
        <v>489428.64816450176</v>
      </c>
      <c r="L14" s="227">
        <f t="shared" si="5"/>
        <v>6.7848730118557992E-4</v>
      </c>
      <c r="M14" s="226">
        <v>6.78E-4</v>
      </c>
      <c r="N14" s="227">
        <f t="shared" si="6"/>
        <v>4.873011855799185E-7</v>
      </c>
    </row>
    <row r="15" spans="2:14" x14ac:dyDescent="0.25">
      <c r="B15" s="87" t="s">
        <v>10</v>
      </c>
      <c r="C15" s="188">
        <v>2.71</v>
      </c>
      <c r="D15" s="343">
        <v>1194555.1274999999</v>
      </c>
      <c r="E15" s="70">
        <f>'Predial y Agua'!H13</f>
        <v>14390923</v>
      </c>
      <c r="F15" s="223">
        <f t="shared" si="1"/>
        <v>2.7055841532770524</v>
      </c>
      <c r="G15" s="308">
        <f>CENSO!C17</f>
        <v>29416</v>
      </c>
      <c r="H15" s="212">
        <f t="shared" si="2"/>
        <v>79587.463452797776</v>
      </c>
      <c r="I15" s="158">
        <f t="shared" si="3"/>
        <v>0.36431260456941483</v>
      </c>
      <c r="J15" s="213">
        <f t="shared" si="4"/>
        <v>78351.853088856937</v>
      </c>
      <c r="K15" s="214">
        <f t="shared" si="0"/>
        <v>1272906.9805888569</v>
      </c>
      <c r="L15" s="227">
        <f t="shared" si="5"/>
        <v>0.36431260456941483</v>
      </c>
      <c r="M15" s="226">
        <v>0.364313</v>
      </c>
      <c r="N15" s="227">
        <f t="shared" si="6"/>
        <v>-3.9543058516500196E-7</v>
      </c>
    </row>
    <row r="16" spans="2:14" x14ac:dyDescent="0.25">
      <c r="B16" s="87" t="s">
        <v>11</v>
      </c>
      <c r="C16" s="188">
        <v>1.69</v>
      </c>
      <c r="D16" s="343">
        <v>744943.97249999992</v>
      </c>
      <c r="E16" s="70">
        <f>'Predial y Agua'!H14</f>
        <v>4206319</v>
      </c>
      <c r="F16" s="223">
        <f t="shared" si="1"/>
        <v>0.79081446200693162</v>
      </c>
      <c r="G16" s="308">
        <f>CENSO!C18</f>
        <v>18580</v>
      </c>
      <c r="H16" s="212">
        <f t="shared" si="2"/>
        <v>14693.332704088789</v>
      </c>
      <c r="I16" s="158">
        <f t="shared" si="3"/>
        <v>6.725891333886172E-2</v>
      </c>
      <c r="J16" s="213">
        <f t="shared" si="4"/>
        <v>14465.215945715525</v>
      </c>
      <c r="K16" s="214">
        <f t="shared" si="0"/>
        <v>759409.18844571547</v>
      </c>
      <c r="L16" s="227">
        <f t="shared" si="5"/>
        <v>6.725891333886172E-2</v>
      </c>
      <c r="M16" s="226">
        <v>6.7258999999999999E-2</v>
      </c>
      <c r="N16" s="227">
        <f t="shared" si="6"/>
        <v>-8.6661138279375827E-8</v>
      </c>
    </row>
    <row r="17" spans="2:14" x14ac:dyDescent="0.25">
      <c r="B17" s="87" t="s">
        <v>12</v>
      </c>
      <c r="C17" s="188">
        <v>1.27</v>
      </c>
      <c r="D17" s="343">
        <v>559809.96750000003</v>
      </c>
      <c r="E17" s="70">
        <f>'Predial y Agua'!H15</f>
        <v>619298</v>
      </c>
      <c r="F17" s="223">
        <f t="shared" si="1"/>
        <v>0.11643192413413456</v>
      </c>
      <c r="G17" s="308">
        <f>CENSO!C19</f>
        <v>14315</v>
      </c>
      <c r="H17" s="212">
        <f t="shared" si="2"/>
        <v>1666.7229939801362</v>
      </c>
      <c r="I17" s="158">
        <f t="shared" si="3"/>
        <v>7.6294452504163963E-3</v>
      </c>
      <c r="J17" s="213">
        <f t="shared" si="4"/>
        <v>1640.8468054972379</v>
      </c>
      <c r="K17" s="214">
        <f t="shared" si="0"/>
        <v>561450.81430549722</v>
      </c>
      <c r="L17" s="227">
        <f t="shared" si="5"/>
        <v>7.6294452504163963E-3</v>
      </c>
      <c r="M17" s="226">
        <v>7.6290000000000004E-3</v>
      </c>
      <c r="N17" s="227">
        <f t="shared" si="6"/>
        <v>4.4525041639591201E-7</v>
      </c>
    </row>
    <row r="18" spans="2:14" x14ac:dyDescent="0.25">
      <c r="B18" s="87" t="s">
        <v>13</v>
      </c>
      <c r="C18" s="188">
        <v>3.39</v>
      </c>
      <c r="D18" s="343">
        <v>1494295.8975</v>
      </c>
      <c r="E18" s="70">
        <f>'Predial y Agua'!H16</f>
        <v>1819462</v>
      </c>
      <c r="F18" s="223">
        <f t="shared" si="1"/>
        <v>0.34207031437036889</v>
      </c>
      <c r="G18" s="308">
        <f>CENSO!C20</f>
        <v>33901</v>
      </c>
      <c r="H18" s="212">
        <f t="shared" si="2"/>
        <v>11596.525727469876</v>
      </c>
      <c r="I18" s="158">
        <f t="shared" si="3"/>
        <v>5.3083240857857296E-2</v>
      </c>
      <c r="J18" s="213">
        <f t="shared" si="4"/>
        <v>11416.487480829859</v>
      </c>
      <c r="K18" s="214">
        <f t="shared" si="0"/>
        <v>1505712.3849808299</v>
      </c>
      <c r="L18" s="227">
        <f t="shared" si="5"/>
        <v>5.3083240857857296E-2</v>
      </c>
      <c r="M18" s="226">
        <v>5.3082999999999998E-2</v>
      </c>
      <c r="N18" s="227">
        <f t="shared" si="6"/>
        <v>2.4085785729766052E-7</v>
      </c>
    </row>
    <row r="19" spans="2:14" x14ac:dyDescent="0.25">
      <c r="B19" s="87" t="s">
        <v>14</v>
      </c>
      <c r="C19" s="188">
        <v>2.21</v>
      </c>
      <c r="D19" s="343">
        <v>974157.50249999994</v>
      </c>
      <c r="E19" s="70">
        <f>'Predial y Agua'!H17</f>
        <v>1893758</v>
      </c>
      <c r="F19" s="223">
        <f t="shared" si="1"/>
        <v>0.35603843026202314</v>
      </c>
      <c r="G19" s="308">
        <f>CENSO!C21</f>
        <v>24743</v>
      </c>
      <c r="H19" s="212">
        <f t="shared" si="2"/>
        <v>8809.4588799732392</v>
      </c>
      <c r="I19" s="158">
        <f t="shared" si="3"/>
        <v>4.0325407673202952E-2</v>
      </c>
      <c r="J19" s="213">
        <f t="shared" si="4"/>
        <v>8672.6903712085223</v>
      </c>
      <c r="K19" s="214">
        <f t="shared" si="0"/>
        <v>982830.19287120842</v>
      </c>
      <c r="L19" s="227">
        <f t="shared" si="5"/>
        <v>4.0325407673202952E-2</v>
      </c>
      <c r="M19" s="226">
        <v>4.0325E-2</v>
      </c>
      <c r="N19" s="227">
        <f t="shared" si="6"/>
        <v>4.0767320295259646E-7</v>
      </c>
    </row>
    <row r="20" spans="2:14" x14ac:dyDescent="0.25">
      <c r="B20" s="87" t="s">
        <v>15</v>
      </c>
      <c r="C20" s="188">
        <v>3.95</v>
      </c>
      <c r="D20" s="343">
        <v>1741141.2375</v>
      </c>
      <c r="E20" s="70">
        <f>'Predial y Agua'!H18</f>
        <v>4000518</v>
      </c>
      <c r="F20" s="223">
        <f t="shared" si="1"/>
        <v>0.75212257794024795</v>
      </c>
      <c r="G20" s="308">
        <f>CENSO!C22</f>
        <v>43979</v>
      </c>
      <c r="H20" s="212">
        <f t="shared" si="2"/>
        <v>33077.598855234166</v>
      </c>
      <c r="I20" s="158">
        <f t="shared" si="3"/>
        <v>0.15141312047216696</v>
      </c>
      <c r="J20" s="213">
        <f t="shared" si="4"/>
        <v>32564.062901370715</v>
      </c>
      <c r="K20" s="214">
        <f t="shared" si="0"/>
        <v>1773705.3004013707</v>
      </c>
      <c r="L20" s="227">
        <f t="shared" si="5"/>
        <v>0.15141312047216696</v>
      </c>
      <c r="M20" s="226">
        <v>0.15141299999999999</v>
      </c>
      <c r="N20" s="227">
        <f t="shared" si="6"/>
        <v>1.2047216696453589E-7</v>
      </c>
    </row>
    <row r="21" spans="2:14" x14ac:dyDescent="0.25">
      <c r="B21" s="87" t="s">
        <v>16</v>
      </c>
      <c r="C21" s="188">
        <v>0.75</v>
      </c>
      <c r="D21" s="343">
        <v>330596.4375</v>
      </c>
      <c r="E21" s="70">
        <f>'Predial y Agua'!H19</f>
        <v>1219342</v>
      </c>
      <c r="F21" s="223">
        <f t="shared" si="1"/>
        <v>0.22924397501294028</v>
      </c>
      <c r="G21" s="308">
        <f>CENSO!C23</f>
        <v>7499</v>
      </c>
      <c r="H21" s="212">
        <f t="shared" si="2"/>
        <v>1719.1005686220392</v>
      </c>
      <c r="I21" s="158">
        <f t="shared" si="3"/>
        <v>7.8692042502761898E-3</v>
      </c>
      <c r="J21" s="213">
        <f t="shared" si="4"/>
        <v>1692.4112084251815</v>
      </c>
      <c r="K21" s="214">
        <f t="shared" si="0"/>
        <v>332288.84870842518</v>
      </c>
      <c r="L21" s="227">
        <f t="shared" si="5"/>
        <v>7.8692042502761898E-3</v>
      </c>
      <c r="M21" s="226">
        <v>7.8689999999999993E-3</v>
      </c>
      <c r="N21" s="227">
        <f t="shared" si="6"/>
        <v>2.0425027619057345E-7</v>
      </c>
    </row>
    <row r="22" spans="2:14" x14ac:dyDescent="0.25">
      <c r="B22" s="87" t="s">
        <v>17</v>
      </c>
      <c r="C22" s="188">
        <v>2.2799999999999998</v>
      </c>
      <c r="D22" s="343">
        <v>1005013.1699999998</v>
      </c>
      <c r="E22" s="70">
        <f>'Predial y Agua'!H20</f>
        <v>4314653</v>
      </c>
      <c r="F22" s="223">
        <f t="shared" si="1"/>
        <v>0.81118193625866075</v>
      </c>
      <c r="G22" s="308">
        <f>CENSO!C24</f>
        <v>23477</v>
      </c>
      <c r="H22" s="212">
        <f t="shared" si="2"/>
        <v>19044.118317544577</v>
      </c>
      <c r="I22" s="158">
        <f t="shared" si="3"/>
        <v>8.7174688638086903E-2</v>
      </c>
      <c r="J22" s="213">
        <f t="shared" si="4"/>
        <v>18748.45479285856</v>
      </c>
      <c r="K22" s="214">
        <f t="shared" si="0"/>
        <v>1023761.6247928584</v>
      </c>
      <c r="L22" s="227">
        <f t="shared" si="5"/>
        <v>8.7174688638086903E-2</v>
      </c>
      <c r="M22" s="226">
        <v>8.7175000000000002E-2</v>
      </c>
      <c r="N22" s="227">
        <f t="shared" si="6"/>
        <v>-3.1136191309955041E-7</v>
      </c>
    </row>
    <row r="23" spans="2:14" x14ac:dyDescent="0.25">
      <c r="B23" s="87" t="s">
        <v>23</v>
      </c>
      <c r="C23" s="188">
        <v>8.8800000000000008</v>
      </c>
      <c r="D23" s="343">
        <v>3914261.82</v>
      </c>
      <c r="E23" s="70">
        <f>'Predial y Agua'!H21</f>
        <v>15229971</v>
      </c>
      <c r="F23" s="223">
        <f t="shared" si="1"/>
        <v>2.8633304613240629</v>
      </c>
      <c r="G23" s="308">
        <f>CENSO!C25</f>
        <v>97820</v>
      </c>
      <c r="H23" s="212">
        <f t="shared" si="2"/>
        <v>280090.98572671984</v>
      </c>
      <c r="I23" s="158">
        <f t="shared" si="3"/>
        <v>1.2821199734181128</v>
      </c>
      <c r="J23" s="213">
        <f t="shared" si="4"/>
        <v>275742.52040572622</v>
      </c>
      <c r="K23" s="214">
        <f t="shared" si="0"/>
        <v>4190004.3404057259</v>
      </c>
      <c r="L23" s="227">
        <f t="shared" si="5"/>
        <v>1.2821199734181128</v>
      </c>
      <c r="M23" s="226">
        <v>1.2821199999999999</v>
      </c>
      <c r="N23" s="227">
        <f t="shared" si="6"/>
        <v>-2.658188713589027E-8</v>
      </c>
    </row>
    <row r="24" spans="2:14" x14ac:dyDescent="0.25">
      <c r="B24" s="87" t="s">
        <v>18</v>
      </c>
      <c r="C24" s="188">
        <v>3.92</v>
      </c>
      <c r="D24" s="343">
        <v>1727917.38</v>
      </c>
      <c r="E24" s="70">
        <f>'Predial y Agua'!H22</f>
        <v>11548623</v>
      </c>
      <c r="F24" s="223">
        <f t="shared" si="1"/>
        <v>2.1712138534109933</v>
      </c>
      <c r="G24" s="308">
        <f>CENSO!C26</f>
        <v>39718</v>
      </c>
      <c r="H24" s="212">
        <f t="shared" si="2"/>
        <v>86236.271829777834</v>
      </c>
      <c r="I24" s="158">
        <f t="shared" si="3"/>
        <v>0.39474760767184625</v>
      </c>
      <c r="J24" s="213">
        <f t="shared" si="4"/>
        <v>84897.437463185794</v>
      </c>
      <c r="K24" s="214">
        <f t="shared" si="0"/>
        <v>1812814.8174631856</v>
      </c>
      <c r="L24" s="227">
        <f t="shared" si="5"/>
        <v>0.39474760767184625</v>
      </c>
      <c r="M24" s="226">
        <v>0.39474799999999999</v>
      </c>
      <c r="N24" s="227">
        <f t="shared" si="6"/>
        <v>-3.9232815374212748E-7</v>
      </c>
    </row>
    <row r="25" spans="2:14" x14ac:dyDescent="0.25">
      <c r="B25" s="87" t="s">
        <v>19</v>
      </c>
      <c r="C25" s="188">
        <v>35.42</v>
      </c>
      <c r="D25" s="343">
        <v>15612967.754999999</v>
      </c>
      <c r="E25" s="70">
        <f>'Predial y Agua'!H23</f>
        <v>186622629</v>
      </c>
      <c r="F25" s="223">
        <f t="shared" si="1"/>
        <v>35.086229539641238</v>
      </c>
      <c r="G25" s="308">
        <f>CENSO!C27</f>
        <v>413608</v>
      </c>
      <c r="H25" s="212">
        <f t="shared" si="2"/>
        <v>14511945.227431932</v>
      </c>
      <c r="I25" s="158">
        <f t="shared" si="3"/>
        <v>66.428609906759945</v>
      </c>
      <c r="J25" s="213">
        <f t="shared" si="4"/>
        <v>14286644.54380616</v>
      </c>
      <c r="K25" s="214">
        <f t="shared" si="0"/>
        <v>29899612.298806161</v>
      </c>
      <c r="L25" s="227">
        <f t="shared" si="5"/>
        <v>66.428609906759945</v>
      </c>
      <c r="M25" s="226">
        <v>66.428610000000006</v>
      </c>
      <c r="N25" s="227">
        <f t="shared" si="6"/>
        <v>-9.3240061005417374E-8</v>
      </c>
    </row>
    <row r="26" spans="2:14" x14ac:dyDescent="0.25">
      <c r="B26" s="87" t="s">
        <v>20</v>
      </c>
      <c r="C26" s="188">
        <v>3</v>
      </c>
      <c r="D26" s="343">
        <v>1322385.75</v>
      </c>
      <c r="E26" s="70">
        <f>'Predial y Agua'!H24</f>
        <v>1666341</v>
      </c>
      <c r="F26" s="223">
        <f t="shared" si="1"/>
        <v>0.31328260206491532</v>
      </c>
      <c r="G26" s="308">
        <f>CENSO!C28</f>
        <v>30565</v>
      </c>
      <c r="H26" s="212">
        <f t="shared" si="2"/>
        <v>9575.4827321141365</v>
      </c>
      <c r="I26" s="158">
        <f t="shared" si="3"/>
        <v>4.3831891390971649E-2</v>
      </c>
      <c r="J26" s="213">
        <f t="shared" si="4"/>
        <v>9426.821558730293</v>
      </c>
      <c r="K26" s="214">
        <f t="shared" si="0"/>
        <v>1331812.5715587302</v>
      </c>
      <c r="L26" s="227">
        <f t="shared" si="5"/>
        <v>4.3831891390971649E-2</v>
      </c>
      <c r="M26" s="226">
        <v>4.3832000000000003E-2</v>
      </c>
      <c r="N26" s="227">
        <f t="shared" si="6"/>
        <v>-1.0860902835418962E-7</v>
      </c>
    </row>
    <row r="27" spans="2:14" ht="15.75" thickBot="1" x14ac:dyDescent="0.3">
      <c r="B27" s="87" t="s">
        <v>21</v>
      </c>
      <c r="C27" s="188">
        <v>4.5199999999999996</v>
      </c>
      <c r="D27" s="343">
        <v>1992394.5299999998</v>
      </c>
      <c r="E27" s="195">
        <f>'Predial y Agua'!H25</f>
        <v>28960943</v>
      </c>
      <c r="F27" s="224">
        <f t="shared" si="1"/>
        <v>5.4448396704478217</v>
      </c>
      <c r="G27" s="309">
        <f>CENSO!C29</f>
        <v>57418</v>
      </c>
      <c r="H27" s="212">
        <f t="shared" si="2"/>
        <v>312631.80419777305</v>
      </c>
      <c r="I27" s="158">
        <f t="shared" si="3"/>
        <v>1.4310759750004596</v>
      </c>
      <c r="J27" s="213">
        <f t="shared" si="4"/>
        <v>307778.13653950678</v>
      </c>
      <c r="K27" s="214">
        <f t="shared" si="0"/>
        <v>2300172.6665395065</v>
      </c>
      <c r="L27" s="227">
        <f t="shared" si="5"/>
        <v>1.4310759750004596</v>
      </c>
      <c r="M27" s="226">
        <v>1.431076</v>
      </c>
      <c r="N27" s="227">
        <f t="shared" si="6"/>
        <v>-2.4999540437775636E-8</v>
      </c>
    </row>
    <row r="28" spans="2:14" ht="15.75" thickBot="1" x14ac:dyDescent="0.3">
      <c r="B28" s="190" t="s">
        <v>22</v>
      </c>
      <c r="C28" s="457">
        <f t="shared" ref="C28:H28" si="7">SUM(C8:C27)</f>
        <v>100.00000000000001</v>
      </c>
      <c r="D28" s="344">
        <f t="shared" si="7"/>
        <v>44079524.999999993</v>
      </c>
      <c r="E28" s="263">
        <f t="shared" si="7"/>
        <v>531897076</v>
      </c>
      <c r="F28" s="221">
        <f t="shared" si="7"/>
        <v>100</v>
      </c>
      <c r="G28" s="263">
        <f t="shared" si="7"/>
        <v>1181050</v>
      </c>
      <c r="H28" s="186">
        <f t="shared" si="7"/>
        <v>21845926.397979859</v>
      </c>
      <c r="I28" s="185">
        <f t="shared" si="3"/>
        <v>100</v>
      </c>
      <c r="J28" s="215">
        <v>21506764.275000002</v>
      </c>
      <c r="K28" s="216">
        <f>SUM(K8:K27)</f>
        <v>65586289.275000006</v>
      </c>
      <c r="L28" s="216">
        <f t="shared" ref="L28:N28" si="8">SUM(L8:L27)</f>
        <v>100</v>
      </c>
      <c r="M28" s="216">
        <f t="shared" si="8"/>
        <v>99.999999000000003</v>
      </c>
      <c r="N28" s="216">
        <f t="shared" si="8"/>
        <v>1.0000000046981976E-6</v>
      </c>
    </row>
    <row r="29" spans="2:14" x14ac:dyDescent="0.25">
      <c r="B29" s="488" t="s">
        <v>265</v>
      </c>
      <c r="C29" s="10"/>
      <c r="D29" s="1"/>
      <c r="E29" s="1"/>
      <c r="F29" s="1"/>
      <c r="G29" s="2"/>
      <c r="H29" s="2"/>
    </row>
    <row r="30" spans="2:14" x14ac:dyDescent="0.25">
      <c r="B30" s="1"/>
      <c r="C30" s="1"/>
      <c r="D30" s="1"/>
      <c r="E30" s="1"/>
      <c r="F30" s="1"/>
      <c r="G30" s="2"/>
      <c r="H30" s="2"/>
    </row>
    <row r="31" spans="2:14" x14ac:dyDescent="0.25">
      <c r="C31" t="s">
        <v>215</v>
      </c>
    </row>
    <row r="32" spans="2:14" ht="33.75" customHeight="1" x14ac:dyDescent="0.25">
      <c r="C32" s="711" t="s">
        <v>274</v>
      </c>
      <c r="D32" s="711"/>
      <c r="E32" s="711"/>
      <c r="F32" s="711"/>
      <c r="G32" s="711"/>
      <c r="H32" s="711"/>
      <c r="I32" s="711"/>
      <c r="J32" s="711"/>
      <c r="K32" s="711"/>
    </row>
    <row r="33" spans="3:11" ht="33" customHeight="1" x14ac:dyDescent="0.25">
      <c r="C33" s="694" t="s">
        <v>277</v>
      </c>
      <c r="D33" s="694"/>
      <c r="E33" s="694"/>
      <c r="F33" s="694"/>
      <c r="G33" s="694"/>
      <c r="H33" s="694"/>
      <c r="I33" s="694"/>
      <c r="J33" s="694"/>
      <c r="K33" s="694"/>
    </row>
    <row r="34" spans="3:11" ht="35.25" customHeight="1" x14ac:dyDescent="0.25">
      <c r="C34" s="710" t="s">
        <v>183</v>
      </c>
      <c r="D34" s="710"/>
      <c r="E34" s="710"/>
      <c r="F34" s="710"/>
      <c r="G34" s="710"/>
      <c r="H34" s="710"/>
      <c r="I34" s="710"/>
      <c r="J34" s="710"/>
      <c r="K34" s="710"/>
    </row>
    <row r="35" spans="3:11" ht="15.75" customHeight="1" x14ac:dyDescent="0.25">
      <c r="C35" s="352"/>
      <c r="D35" s="345"/>
      <c r="E35" s="345"/>
      <c r="F35" s="345"/>
      <c r="G35" s="347"/>
      <c r="H35" s="347"/>
    </row>
    <row r="36" spans="3:11" x14ac:dyDescent="0.25">
      <c r="F36" s="709"/>
      <c r="G36" s="709"/>
      <c r="H36" s="709"/>
      <c r="I36" s="709"/>
      <c r="J36" s="709"/>
      <c r="K36" s="709"/>
    </row>
  </sheetData>
  <mergeCells count="11">
    <mergeCell ref="F36:K36"/>
    <mergeCell ref="C33:K33"/>
    <mergeCell ref="C34:K34"/>
    <mergeCell ref="C32:K32"/>
    <mergeCell ref="F4:F6"/>
    <mergeCell ref="B2:K2"/>
    <mergeCell ref="I4:I6"/>
    <mergeCell ref="J4:J5"/>
    <mergeCell ref="K4:K6"/>
    <mergeCell ref="B4:B7"/>
    <mergeCell ref="E4:E5"/>
  </mergeCells>
  <pageMargins left="0.47" right="0.70866141732283472" top="0.74803149606299213" bottom="0.74803149606299213" header="0.31496062992125984" footer="0.31496062992125984"/>
  <pageSetup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3:N38"/>
  <sheetViews>
    <sheetView zoomScaleNormal="100" workbookViewId="0">
      <selection activeCell="D6" sqref="D6:D9"/>
    </sheetView>
  </sheetViews>
  <sheetFormatPr baseColWidth="10" defaultRowHeight="15" x14ac:dyDescent="0.25"/>
  <cols>
    <col min="1" max="1" width="3.5703125" customWidth="1"/>
    <col min="2" max="2" width="21.7109375" customWidth="1"/>
    <col min="3" max="3" width="15.28515625" customWidth="1"/>
    <col min="4" max="4" width="14.5703125" customWidth="1"/>
    <col min="5" max="5" width="15.5703125" style="205" customWidth="1"/>
    <col min="6" max="6" width="18.42578125" customWidth="1"/>
    <col min="7" max="7" width="15" customWidth="1"/>
    <col min="8" max="8" width="13.28515625" customWidth="1"/>
    <col min="9" max="9" width="19.85546875" customWidth="1"/>
    <col min="10" max="10" width="15.28515625" customWidth="1"/>
    <col min="11" max="11" width="14.42578125" customWidth="1"/>
    <col min="12" max="12" width="15.42578125" customWidth="1"/>
  </cols>
  <sheetData>
    <row r="3" spans="2:14" s="24" customFormat="1" x14ac:dyDescent="0.25">
      <c r="B3" s="34"/>
      <c r="C3" s="34"/>
      <c r="D3" s="34"/>
      <c r="J3" s="31"/>
      <c r="K3" s="31"/>
      <c r="L3" s="159"/>
    </row>
    <row r="4" spans="2:14" ht="15" customHeight="1" x14ac:dyDescent="0.25">
      <c r="B4" s="714" t="s">
        <v>337</v>
      </c>
      <c r="C4" s="714"/>
      <c r="D4" s="714"/>
      <c r="E4" s="714"/>
      <c r="F4" s="714"/>
      <c r="G4" s="714"/>
      <c r="H4" s="714"/>
      <c r="I4" s="714"/>
      <c r="J4" s="714"/>
      <c r="K4" s="714"/>
      <c r="L4" s="714"/>
    </row>
    <row r="5" spans="2:14" ht="28.5" customHeight="1" thickBot="1" x14ac:dyDescent="0.35">
      <c r="B5" s="715" t="s">
        <v>338</v>
      </c>
      <c r="C5" s="715"/>
      <c r="D5" s="715"/>
      <c r="E5" s="715"/>
      <c r="F5" s="715"/>
      <c r="G5" s="715"/>
      <c r="H5" s="715"/>
      <c r="I5" s="715"/>
      <c r="J5" s="715"/>
      <c r="K5" s="715"/>
      <c r="L5" s="715"/>
    </row>
    <row r="6" spans="2:14" ht="15" customHeight="1" thickBot="1" x14ac:dyDescent="0.3">
      <c r="B6" s="716" t="s">
        <v>26</v>
      </c>
      <c r="C6" s="722" t="s">
        <v>325</v>
      </c>
      <c r="D6" s="724" t="s">
        <v>326</v>
      </c>
      <c r="E6" s="719" t="s">
        <v>327</v>
      </c>
      <c r="F6" s="720"/>
      <c r="G6" s="721" t="s">
        <v>339</v>
      </c>
      <c r="H6" s="719"/>
      <c r="I6" s="720"/>
      <c r="J6" s="712" t="s">
        <v>333</v>
      </c>
      <c r="K6" s="712" t="s">
        <v>334</v>
      </c>
      <c r="L6" s="359" t="s">
        <v>29</v>
      </c>
    </row>
    <row r="7" spans="2:14" x14ac:dyDescent="0.25">
      <c r="B7" s="717"/>
      <c r="C7" s="723"/>
      <c r="D7" s="725"/>
      <c r="E7" s="726" t="s">
        <v>328</v>
      </c>
      <c r="F7" s="704" t="s">
        <v>329</v>
      </c>
      <c r="G7" s="712" t="s">
        <v>330</v>
      </c>
      <c r="H7" s="712" t="s">
        <v>331</v>
      </c>
      <c r="I7" s="712" t="s">
        <v>332</v>
      </c>
      <c r="J7" s="713"/>
      <c r="K7" s="713"/>
      <c r="L7" s="360" t="s">
        <v>335</v>
      </c>
    </row>
    <row r="8" spans="2:14" x14ac:dyDescent="0.25">
      <c r="B8" s="717"/>
      <c r="C8" s="723"/>
      <c r="D8" s="725"/>
      <c r="E8" s="727"/>
      <c r="F8" s="705"/>
      <c r="G8" s="713"/>
      <c r="H8" s="713"/>
      <c r="I8" s="713"/>
      <c r="J8" s="713"/>
      <c r="K8" s="713"/>
      <c r="L8" s="361" t="s">
        <v>124</v>
      </c>
    </row>
    <row r="9" spans="2:14" x14ac:dyDescent="0.25">
      <c r="B9" s="717"/>
      <c r="C9" s="723"/>
      <c r="D9" s="725"/>
      <c r="E9" s="727"/>
      <c r="F9" s="362">
        <v>0.7</v>
      </c>
      <c r="G9" s="713"/>
      <c r="H9" s="713"/>
      <c r="I9" s="713"/>
      <c r="J9" s="713"/>
      <c r="K9" s="361" t="s">
        <v>106</v>
      </c>
      <c r="L9" s="361" t="s">
        <v>336</v>
      </c>
    </row>
    <row r="10" spans="2:14" ht="15.75" thickBot="1" x14ac:dyDescent="0.3">
      <c r="B10" s="718"/>
      <c r="C10" s="363" t="s">
        <v>1</v>
      </c>
      <c r="D10" s="364" t="s">
        <v>2</v>
      </c>
      <c r="E10" s="365" t="s">
        <v>25</v>
      </c>
      <c r="F10" s="364" t="s">
        <v>105</v>
      </c>
      <c r="G10" s="363" t="s">
        <v>208</v>
      </c>
      <c r="H10" s="364" t="s">
        <v>209</v>
      </c>
      <c r="I10" s="366" t="s">
        <v>210</v>
      </c>
      <c r="J10" s="364" t="s">
        <v>211</v>
      </c>
      <c r="K10" s="364" t="s">
        <v>77</v>
      </c>
      <c r="L10" s="364" t="s">
        <v>212</v>
      </c>
    </row>
    <row r="11" spans="2:14" x14ac:dyDescent="0.25">
      <c r="B11" s="74" t="s">
        <v>3</v>
      </c>
      <c r="C11" s="115">
        <v>3.81</v>
      </c>
      <c r="D11" s="328">
        <v>2891598.5474999999</v>
      </c>
      <c r="E11" s="458">
        <f>FGP!F11</f>
        <v>3.1589687142796663</v>
      </c>
      <c r="F11" s="459">
        <f>E11*0.7</f>
        <v>2.2112780999957664</v>
      </c>
      <c r="G11" s="460">
        <f>1/E11</f>
        <v>0.31655900721005659</v>
      </c>
      <c r="H11" s="461">
        <f>G11/$G$31*100</f>
        <v>3.3058271878091938</v>
      </c>
      <c r="I11" s="329">
        <f>H11*0.3</f>
        <v>0.99174815634275815</v>
      </c>
      <c r="J11" s="158">
        <f>F11+I11</f>
        <v>3.2030262563385246</v>
      </c>
      <c r="K11" s="70">
        <f>$K$31*J11/100</f>
        <v>508441.08663282613</v>
      </c>
      <c r="L11" s="70">
        <f>D11+K11</f>
        <v>3400039.6341328258</v>
      </c>
      <c r="N11" s="104"/>
    </row>
    <row r="12" spans="2:14" x14ac:dyDescent="0.25">
      <c r="B12" s="74" t="s">
        <v>4</v>
      </c>
      <c r="C12" s="115">
        <v>1.63</v>
      </c>
      <c r="D12" s="328">
        <v>1237088.0925</v>
      </c>
      <c r="E12" s="458">
        <f>FGP!F12</f>
        <v>1.3507472164599297</v>
      </c>
      <c r="F12" s="459">
        <f t="shared" ref="F12:F30" si="0">E12*0.7</f>
        <v>0.94552305152195071</v>
      </c>
      <c r="G12" s="460">
        <f t="shared" ref="G12:G30" si="1">1/E12</f>
        <v>0.74033097223092836</v>
      </c>
      <c r="H12" s="459">
        <f t="shared" ref="H12:H30" si="2">G12/$G$31*100</f>
        <v>7.7312797937675173</v>
      </c>
      <c r="I12" s="329">
        <f t="shared" ref="I12:I30" si="3">H12*0.3</f>
        <v>2.319383938130255</v>
      </c>
      <c r="J12" s="158">
        <f>F12+I12+0.000001</f>
        <v>3.264907989652206</v>
      </c>
      <c r="K12" s="70">
        <f t="shared" ref="K12:K30" si="4">$K$31*J12/100</f>
        <v>518264.05191962875</v>
      </c>
      <c r="L12" s="70">
        <f t="shared" ref="L12:L30" si="5">D12+K12</f>
        <v>1755352.1444196287</v>
      </c>
    </row>
    <row r="13" spans="2:14" x14ac:dyDescent="0.25">
      <c r="B13" s="74" t="s">
        <v>5</v>
      </c>
      <c r="C13" s="115">
        <v>1.32</v>
      </c>
      <c r="D13" s="328">
        <v>1001813.6699999999</v>
      </c>
      <c r="E13" s="458">
        <f>FGP!F13</f>
        <v>1.0034291520257399</v>
      </c>
      <c r="F13" s="459">
        <f t="shared" si="0"/>
        <v>0.70240040641801793</v>
      </c>
      <c r="G13" s="460">
        <f t="shared" si="1"/>
        <v>0.99658256687199387</v>
      </c>
      <c r="H13" s="459">
        <f t="shared" si="2"/>
        <v>10.407316391019595</v>
      </c>
      <c r="I13" s="329">
        <f t="shared" si="3"/>
        <v>3.1221949173058783</v>
      </c>
      <c r="J13" s="158">
        <f t="shared" ref="J13:J31" si="6">F13+I13</f>
        <v>3.8245953237238961</v>
      </c>
      <c r="K13" s="70">
        <f t="shared" si="4"/>
        <v>607107.54352289089</v>
      </c>
      <c r="L13" s="70">
        <f t="shared" si="5"/>
        <v>1608921.2135228908</v>
      </c>
    </row>
    <row r="14" spans="2:14" x14ac:dyDescent="0.25">
      <c r="B14" s="74" t="s">
        <v>6</v>
      </c>
      <c r="C14" s="115">
        <v>7.64</v>
      </c>
      <c r="D14" s="328">
        <v>5798376.0899999999</v>
      </c>
      <c r="E14" s="458">
        <f>FGP!F14</f>
        <v>12.721730663392744</v>
      </c>
      <c r="F14" s="459">
        <f t="shared" si="0"/>
        <v>8.9052114643749203</v>
      </c>
      <c r="G14" s="460">
        <f t="shared" si="1"/>
        <v>7.8605657237936763E-2</v>
      </c>
      <c r="H14" s="459">
        <f t="shared" si="2"/>
        <v>0.82087924492494635</v>
      </c>
      <c r="I14" s="329">
        <f t="shared" si="3"/>
        <v>0.2462637734774839</v>
      </c>
      <c r="J14" s="158">
        <f t="shared" si="6"/>
        <v>9.151475237852404</v>
      </c>
      <c r="K14" s="70">
        <f t="shared" si="4"/>
        <v>1452684.318468886</v>
      </c>
      <c r="L14" s="70">
        <f t="shared" si="5"/>
        <v>7251060.4084688853</v>
      </c>
    </row>
    <row r="15" spans="2:14" x14ac:dyDescent="0.25">
      <c r="B15" s="74" t="s">
        <v>7</v>
      </c>
      <c r="C15" s="115">
        <v>6.2</v>
      </c>
      <c r="D15" s="328">
        <v>4705488.4499999993</v>
      </c>
      <c r="E15" s="458">
        <f>FGP!F15</f>
        <v>6.3943101477498834</v>
      </c>
      <c r="F15" s="459">
        <f t="shared" si="0"/>
        <v>4.4760171034249181</v>
      </c>
      <c r="G15" s="460">
        <f t="shared" si="1"/>
        <v>0.15638903601694915</v>
      </c>
      <c r="H15" s="459">
        <f t="shared" si="2"/>
        <v>1.6331714320706199</v>
      </c>
      <c r="I15" s="329">
        <f t="shared" si="3"/>
        <v>0.48995142962118593</v>
      </c>
      <c r="J15" s="158">
        <f t="shared" si="6"/>
        <v>4.9659685330461043</v>
      </c>
      <c r="K15" s="70">
        <f t="shared" si="4"/>
        <v>788286.52501046762</v>
      </c>
      <c r="L15" s="70">
        <f t="shared" si="5"/>
        <v>5493774.9750104668</v>
      </c>
    </row>
    <row r="16" spans="2:14" x14ac:dyDescent="0.25">
      <c r="B16" s="74" t="s">
        <v>8</v>
      </c>
      <c r="C16" s="115">
        <v>7.23</v>
      </c>
      <c r="D16" s="328">
        <v>5487206.6924999999</v>
      </c>
      <c r="E16" s="458">
        <f>FGP!F16</f>
        <v>3.5996782524025233</v>
      </c>
      <c r="F16" s="459">
        <f t="shared" si="0"/>
        <v>2.519774776681766</v>
      </c>
      <c r="G16" s="460">
        <f t="shared" si="1"/>
        <v>0.2778026062003105</v>
      </c>
      <c r="H16" s="459">
        <f t="shared" si="2"/>
        <v>2.9010939114167855</v>
      </c>
      <c r="I16" s="329">
        <f t="shared" si="3"/>
        <v>0.87032817342503566</v>
      </c>
      <c r="J16" s="158">
        <f>F16+I16-0.0000001</f>
        <v>3.390102850106802</v>
      </c>
      <c r="K16" s="70">
        <f t="shared" si="4"/>
        <v>538137.19868650695</v>
      </c>
      <c r="L16" s="70">
        <f t="shared" si="5"/>
        <v>6025343.8911865065</v>
      </c>
    </row>
    <row r="17" spans="2:12" x14ac:dyDescent="0.25">
      <c r="B17" s="74" t="s">
        <v>9</v>
      </c>
      <c r="C17" s="115">
        <v>2</v>
      </c>
      <c r="D17" s="328">
        <v>1517899.5</v>
      </c>
      <c r="E17" s="458">
        <f>FGP!F17</f>
        <v>1.0680326827822699</v>
      </c>
      <c r="F17" s="459">
        <f t="shared" si="0"/>
        <v>0.74762287794758886</v>
      </c>
      <c r="G17" s="460">
        <f t="shared" si="1"/>
        <v>0.93630093546852711</v>
      </c>
      <c r="H17" s="459">
        <f t="shared" si="2"/>
        <v>9.7777950332942147</v>
      </c>
      <c r="I17" s="329">
        <f t="shared" si="3"/>
        <v>2.9333385099882645</v>
      </c>
      <c r="J17" s="158">
        <f>F17+I17+0.000001</f>
        <v>3.6809623879358533</v>
      </c>
      <c r="K17" s="70">
        <f t="shared" si="4"/>
        <v>584307.57870717405</v>
      </c>
      <c r="L17" s="70">
        <f t="shared" si="5"/>
        <v>2102207.0787071739</v>
      </c>
    </row>
    <row r="18" spans="2:12" x14ac:dyDescent="0.25">
      <c r="B18" s="74" t="s">
        <v>10</v>
      </c>
      <c r="C18" s="115">
        <v>2.67</v>
      </c>
      <c r="D18" s="328">
        <v>2026395.8325</v>
      </c>
      <c r="E18" s="458">
        <f>FGP!F18</f>
        <v>2.4906650861521529</v>
      </c>
      <c r="F18" s="459">
        <f t="shared" si="0"/>
        <v>1.743465560306507</v>
      </c>
      <c r="G18" s="460">
        <f t="shared" si="1"/>
        <v>0.40149918411748708</v>
      </c>
      <c r="H18" s="459">
        <f t="shared" si="2"/>
        <v>4.1928578511685206</v>
      </c>
      <c r="I18" s="329">
        <f t="shared" si="3"/>
        <v>1.2578573553505561</v>
      </c>
      <c r="J18" s="158">
        <f t="shared" si="6"/>
        <v>3.0013229156570631</v>
      </c>
      <c r="K18" s="70">
        <f t="shared" si="4"/>
        <v>476423.15811581595</v>
      </c>
      <c r="L18" s="70">
        <f t="shared" si="5"/>
        <v>2502818.9906158159</v>
      </c>
    </row>
    <row r="19" spans="2:12" x14ac:dyDescent="0.25">
      <c r="B19" s="74" t="s">
        <v>11</v>
      </c>
      <c r="C19" s="115">
        <v>2.2999999999999998</v>
      </c>
      <c r="D19" s="328">
        <v>1745584.425</v>
      </c>
      <c r="E19" s="458">
        <f>FGP!F19</f>
        <v>1.5731764108208799</v>
      </c>
      <c r="F19" s="459">
        <f t="shared" si="0"/>
        <v>1.1012234875746159</v>
      </c>
      <c r="G19" s="460">
        <f t="shared" si="1"/>
        <v>0.63565662002152845</v>
      </c>
      <c r="H19" s="459">
        <f t="shared" si="2"/>
        <v>6.638165045746673</v>
      </c>
      <c r="I19" s="329">
        <f t="shared" si="3"/>
        <v>1.9914495137240018</v>
      </c>
      <c r="J19" s="158">
        <f t="shared" si="6"/>
        <v>3.0926730012986177</v>
      </c>
      <c r="K19" s="70">
        <f t="shared" si="4"/>
        <v>490923.86247803614</v>
      </c>
      <c r="L19" s="70">
        <f t="shared" si="5"/>
        <v>2236508.2874780362</v>
      </c>
    </row>
    <row r="20" spans="2:12" x14ac:dyDescent="0.25">
      <c r="B20" s="74" t="s">
        <v>12</v>
      </c>
      <c r="C20" s="115">
        <v>2.31</v>
      </c>
      <c r="D20" s="328">
        <v>1753173.9224999999</v>
      </c>
      <c r="E20" s="458">
        <f>FGP!F20</f>
        <v>1.212057067863342</v>
      </c>
      <c r="F20" s="459">
        <f t="shared" si="0"/>
        <v>0.84843994750433938</v>
      </c>
      <c r="G20" s="460">
        <f t="shared" si="1"/>
        <v>0.82504366049598321</v>
      </c>
      <c r="H20" s="459">
        <f t="shared" si="2"/>
        <v>8.6159347921741674</v>
      </c>
      <c r="I20" s="329">
        <f t="shared" si="3"/>
        <v>2.5847804376522503</v>
      </c>
      <c r="J20" s="158">
        <f>F20+I20-0.000001</f>
        <v>3.4332193851565895</v>
      </c>
      <c r="K20" s="70">
        <f t="shared" si="4"/>
        <v>544981.41917616862</v>
      </c>
      <c r="L20" s="70">
        <f t="shared" si="5"/>
        <v>2298155.3416761686</v>
      </c>
    </row>
    <row r="21" spans="2:12" x14ac:dyDescent="0.25">
      <c r="B21" s="74" t="s">
        <v>13</v>
      </c>
      <c r="C21" s="115">
        <v>5.05</v>
      </c>
      <c r="D21" s="328">
        <v>3832696.2374999993</v>
      </c>
      <c r="E21" s="458">
        <f>FGP!F21</f>
        <v>2.8704119215951907</v>
      </c>
      <c r="F21" s="459">
        <f t="shared" si="0"/>
        <v>2.0092883451166332</v>
      </c>
      <c r="G21" s="460">
        <f t="shared" si="1"/>
        <v>0.34838205362673669</v>
      </c>
      <c r="H21" s="459">
        <f t="shared" si="2"/>
        <v>3.6381554098691251</v>
      </c>
      <c r="I21" s="329">
        <f t="shared" si="3"/>
        <v>1.0914466229607376</v>
      </c>
      <c r="J21" s="158">
        <f t="shared" si="6"/>
        <v>3.1007349680773708</v>
      </c>
      <c r="K21" s="70">
        <f t="shared" si="4"/>
        <v>492203.60070724209</v>
      </c>
      <c r="L21" s="70">
        <f t="shared" si="5"/>
        <v>4324899.8382072411</v>
      </c>
    </row>
    <row r="22" spans="2:12" x14ac:dyDescent="0.25">
      <c r="B22" s="74" t="s">
        <v>14</v>
      </c>
      <c r="C22" s="115">
        <v>2.58</v>
      </c>
      <c r="D22" s="328">
        <v>1958090.3549999997</v>
      </c>
      <c r="E22" s="458">
        <f>FGP!F22</f>
        <v>2.0950002116760511</v>
      </c>
      <c r="F22" s="459">
        <f t="shared" si="0"/>
        <v>1.4665001481732356</v>
      </c>
      <c r="G22" s="460">
        <f t="shared" si="1"/>
        <v>0.47732692074526123</v>
      </c>
      <c r="H22" s="459">
        <f t="shared" si="2"/>
        <v>4.9847272582133613</v>
      </c>
      <c r="I22" s="329">
        <f t="shared" si="3"/>
        <v>1.4954181774640083</v>
      </c>
      <c r="J22" s="158">
        <f t="shared" si="6"/>
        <v>2.9619183256372441</v>
      </c>
      <c r="K22" s="70">
        <f t="shared" si="4"/>
        <v>470168.16331883287</v>
      </c>
      <c r="L22" s="70">
        <f t="shared" si="5"/>
        <v>2428258.5183188329</v>
      </c>
    </row>
    <row r="23" spans="2:12" x14ac:dyDescent="0.25">
      <c r="B23" s="74" t="s">
        <v>15</v>
      </c>
      <c r="C23" s="115">
        <v>3.39</v>
      </c>
      <c r="D23" s="328">
        <v>2572839.6525000003</v>
      </c>
      <c r="E23" s="458">
        <f>FGP!F23</f>
        <v>3.7237204182718768</v>
      </c>
      <c r="F23" s="459">
        <f t="shared" si="0"/>
        <v>2.6066042927903137</v>
      </c>
      <c r="G23" s="460">
        <f t="shared" si="1"/>
        <v>0.26854862548034286</v>
      </c>
      <c r="H23" s="459">
        <f t="shared" si="2"/>
        <v>2.8044545476243932</v>
      </c>
      <c r="I23" s="329">
        <f t="shared" si="3"/>
        <v>0.84133636428731795</v>
      </c>
      <c r="J23" s="158">
        <f t="shared" si="6"/>
        <v>3.4479406570776314</v>
      </c>
      <c r="K23" s="70">
        <f t="shared" si="4"/>
        <v>547318.24032377545</v>
      </c>
      <c r="L23" s="70">
        <f t="shared" si="5"/>
        <v>3120157.8928237758</v>
      </c>
    </row>
    <row r="24" spans="2:12" x14ac:dyDescent="0.25">
      <c r="B24" s="74" t="s">
        <v>16</v>
      </c>
      <c r="C24" s="115">
        <v>0.82</v>
      </c>
      <c r="D24" s="328">
        <v>622338.79499999993</v>
      </c>
      <c r="E24" s="458">
        <f>FGP!F24</f>
        <v>0.63494348249439059</v>
      </c>
      <c r="F24" s="459">
        <f t="shared" si="0"/>
        <v>0.44446043774607336</v>
      </c>
      <c r="G24" s="460">
        <f t="shared" si="1"/>
        <v>1.5749433257767702</v>
      </c>
      <c r="H24" s="459">
        <f t="shared" si="2"/>
        <v>16.447140492062037</v>
      </c>
      <c r="I24" s="329">
        <f t="shared" si="3"/>
        <v>4.9341421476186111</v>
      </c>
      <c r="J24" s="158">
        <f>F24+I24-0.000001</f>
        <v>5.3786015853646845</v>
      </c>
      <c r="K24" s="70">
        <f t="shared" si="4"/>
        <v>853786.95513847622</v>
      </c>
      <c r="L24" s="70">
        <f t="shared" si="5"/>
        <v>1476125.750138476</v>
      </c>
    </row>
    <row r="25" spans="2:12" x14ac:dyDescent="0.25">
      <c r="B25" s="74" t="s">
        <v>17</v>
      </c>
      <c r="C25" s="115">
        <v>2.27</v>
      </c>
      <c r="D25" s="328">
        <v>1722815.9325000003</v>
      </c>
      <c r="E25" s="458">
        <f>FGP!F25</f>
        <v>1.9878074594640365</v>
      </c>
      <c r="F25" s="459">
        <f t="shared" si="0"/>
        <v>1.3914652216248256</v>
      </c>
      <c r="G25" s="460">
        <f t="shared" si="1"/>
        <v>0.50306683136686969</v>
      </c>
      <c r="H25" s="459">
        <f t="shared" si="2"/>
        <v>5.2535292648112284</v>
      </c>
      <c r="I25" s="329">
        <f t="shared" si="3"/>
        <v>1.5760587794433685</v>
      </c>
      <c r="J25" s="158">
        <f t="shared" si="6"/>
        <v>2.967524001068194</v>
      </c>
      <c r="K25" s="70">
        <f t="shared" si="4"/>
        <v>471057.99545860471</v>
      </c>
      <c r="L25" s="70">
        <f t="shared" si="5"/>
        <v>2193873.9279586049</v>
      </c>
    </row>
    <row r="26" spans="2:12" x14ac:dyDescent="0.25">
      <c r="B26" s="74" t="s">
        <v>23</v>
      </c>
      <c r="C26" s="115">
        <v>8.59</v>
      </c>
      <c r="D26" s="328">
        <v>6519378.3525</v>
      </c>
      <c r="E26" s="458">
        <f>FGP!F26</f>
        <v>8.2824605224164927</v>
      </c>
      <c r="F26" s="459">
        <f t="shared" si="0"/>
        <v>5.7977223656915449</v>
      </c>
      <c r="G26" s="460">
        <f t="shared" si="1"/>
        <v>0.12073706808423637</v>
      </c>
      <c r="H26" s="459">
        <f t="shared" si="2"/>
        <v>1.2608577647717567</v>
      </c>
      <c r="I26" s="329">
        <f t="shared" si="3"/>
        <v>0.37825732943152701</v>
      </c>
      <c r="J26" s="158">
        <f t="shared" si="6"/>
        <v>6.1759796951230719</v>
      </c>
      <c r="K26" s="70">
        <f t="shared" si="4"/>
        <v>980360.93865812139</v>
      </c>
      <c r="L26" s="70">
        <f t="shared" si="5"/>
        <v>7499739.2911581211</v>
      </c>
    </row>
    <row r="27" spans="2:12" x14ac:dyDescent="0.25">
      <c r="B27" s="74" t="s">
        <v>18</v>
      </c>
      <c r="C27" s="115">
        <v>4.55</v>
      </c>
      <c r="D27" s="328">
        <v>3453221.3624999993</v>
      </c>
      <c r="E27" s="458">
        <f>FGP!F27</f>
        <v>3.3629397569958934</v>
      </c>
      <c r="F27" s="459">
        <f t="shared" si="0"/>
        <v>2.3540578298971253</v>
      </c>
      <c r="G27" s="460">
        <f t="shared" si="1"/>
        <v>0.29735888010473843</v>
      </c>
      <c r="H27" s="459">
        <f t="shared" si="2"/>
        <v>3.1053201709545601</v>
      </c>
      <c r="I27" s="329">
        <f t="shared" si="3"/>
        <v>0.93159605128636802</v>
      </c>
      <c r="J27" s="158">
        <f t="shared" si="6"/>
        <v>3.2856538811834932</v>
      </c>
      <c r="K27" s="70">
        <f t="shared" si="4"/>
        <v>521557.20745104557</v>
      </c>
      <c r="L27" s="70">
        <f t="shared" si="5"/>
        <v>3974778.5699510449</v>
      </c>
    </row>
    <row r="28" spans="2:12" x14ac:dyDescent="0.25">
      <c r="B28" s="74" t="s">
        <v>19</v>
      </c>
      <c r="C28" s="115">
        <v>29.02</v>
      </c>
      <c r="D28" s="328">
        <v>22024721.744999997</v>
      </c>
      <c r="E28" s="458">
        <f>FGP!F28</f>
        <v>35.020363236103471</v>
      </c>
      <c r="F28" s="459">
        <f t="shared" si="0"/>
        <v>24.514254265272427</v>
      </c>
      <c r="G28" s="460">
        <f t="shared" si="1"/>
        <v>2.8554815187327127E-2</v>
      </c>
      <c r="H28" s="459">
        <f t="shared" si="2"/>
        <v>0.29819806809823118</v>
      </c>
      <c r="I28" s="329">
        <f t="shared" si="3"/>
        <v>8.9459420429469347E-2</v>
      </c>
      <c r="J28" s="158">
        <f t="shared" si="6"/>
        <v>24.603713685701898</v>
      </c>
      <c r="K28" s="70">
        <f t="shared" si="4"/>
        <v>3905537.4263029732</v>
      </c>
      <c r="L28" s="70">
        <f t="shared" si="5"/>
        <v>25930259.17130297</v>
      </c>
    </row>
    <row r="29" spans="2:12" x14ac:dyDescent="0.25">
      <c r="B29" s="74" t="s">
        <v>20</v>
      </c>
      <c r="C29" s="115">
        <v>2.73</v>
      </c>
      <c r="D29" s="328">
        <v>2071932.8175000001</v>
      </c>
      <c r="E29" s="458">
        <f>FGP!F29</f>
        <v>2.5879513991786967</v>
      </c>
      <c r="F29" s="459">
        <f t="shared" si="0"/>
        <v>1.8115659794250876</v>
      </c>
      <c r="G29" s="460">
        <f t="shared" si="1"/>
        <v>0.38640601995746771</v>
      </c>
      <c r="H29" s="459">
        <f t="shared" si="2"/>
        <v>4.0352398674946253</v>
      </c>
      <c r="I29" s="329">
        <f t="shared" si="3"/>
        <v>1.2105719602483875</v>
      </c>
      <c r="J29" s="158">
        <f t="shared" si="6"/>
        <v>3.0221379396734749</v>
      </c>
      <c r="K29" s="70">
        <f t="shared" si="4"/>
        <v>479727.28758033394</v>
      </c>
      <c r="L29" s="70">
        <f t="shared" si="5"/>
        <v>2551660.105080334</v>
      </c>
    </row>
    <row r="30" spans="2:12" ht="15.75" thickBot="1" x14ac:dyDescent="0.3">
      <c r="B30" s="74" t="s">
        <v>21</v>
      </c>
      <c r="C30" s="115">
        <v>3.89</v>
      </c>
      <c r="D30" s="330">
        <v>2952314.5274999999</v>
      </c>
      <c r="E30" s="458">
        <f>FGP!F30</f>
        <v>4.8616061978747727</v>
      </c>
      <c r="F30" s="459">
        <f t="shared" si="0"/>
        <v>3.4031243385123409</v>
      </c>
      <c r="G30" s="460">
        <f t="shared" si="1"/>
        <v>0.20569333658434635</v>
      </c>
      <c r="H30" s="459">
        <f t="shared" si="2"/>
        <v>2.1480564727084399</v>
      </c>
      <c r="I30" s="329">
        <f t="shared" si="3"/>
        <v>0.64441694181253195</v>
      </c>
      <c r="J30" s="158">
        <f t="shared" si="6"/>
        <v>4.0475412803248725</v>
      </c>
      <c r="K30" s="70">
        <f t="shared" si="4"/>
        <v>642497.47646842187</v>
      </c>
      <c r="L30" s="70">
        <f t="shared" si="5"/>
        <v>3594812.0039684218</v>
      </c>
    </row>
    <row r="31" spans="2:12" ht="15.75" thickBot="1" x14ac:dyDescent="0.3">
      <c r="B31" s="77" t="s">
        <v>22</v>
      </c>
      <c r="C31" s="78">
        <f t="shared" ref="C31:I31" si="7">SUM(C11:C30)</f>
        <v>100</v>
      </c>
      <c r="D31" s="331">
        <f t="shared" si="7"/>
        <v>75894975</v>
      </c>
      <c r="E31" s="462">
        <f t="shared" si="7"/>
        <v>100.00000000000001</v>
      </c>
      <c r="F31" s="463">
        <f t="shared" si="7"/>
        <v>70</v>
      </c>
      <c r="G31" s="464">
        <f t="shared" si="7"/>
        <v>9.5757881227857986</v>
      </c>
      <c r="H31" s="463">
        <f t="shared" si="7"/>
        <v>100</v>
      </c>
      <c r="I31" s="79">
        <f t="shared" si="7"/>
        <v>30</v>
      </c>
      <c r="J31" s="185">
        <f t="shared" si="6"/>
        <v>100</v>
      </c>
      <c r="K31" s="114">
        <v>15873772.050000001</v>
      </c>
      <c r="L31" s="114">
        <f>SUM(L11:L30)</f>
        <v>91768747.034126222</v>
      </c>
    </row>
    <row r="32" spans="2:12" x14ac:dyDescent="0.25">
      <c r="B32" s="488" t="s">
        <v>265</v>
      </c>
      <c r="D32" s="332"/>
      <c r="E32" s="238"/>
      <c r="F32" s="24"/>
      <c r="G32" s="24"/>
      <c r="H32" s="24"/>
      <c r="I32" s="24"/>
      <c r="J32" s="207"/>
      <c r="K32" s="24"/>
    </row>
    <row r="34" spans="3:11" x14ac:dyDescent="0.25">
      <c r="C34" t="s">
        <v>215</v>
      </c>
      <c r="E34"/>
      <c r="G34" s="347"/>
      <c r="H34" s="347"/>
      <c r="J34" s="31"/>
      <c r="K34" s="31"/>
    </row>
    <row r="35" spans="3:11" ht="31.5" customHeight="1" x14ac:dyDescent="0.25">
      <c r="C35" s="711" t="s">
        <v>275</v>
      </c>
      <c r="D35" s="711"/>
      <c r="E35" s="711"/>
      <c r="F35" s="711"/>
      <c r="G35" s="711"/>
      <c r="H35" s="711"/>
      <c r="I35" s="711"/>
      <c r="J35" s="711"/>
      <c r="K35" s="711"/>
    </row>
    <row r="36" spans="3:11" x14ac:dyDescent="0.25">
      <c r="C36" s="694" t="s">
        <v>277</v>
      </c>
      <c r="D36" s="694"/>
      <c r="E36" s="694"/>
      <c r="F36" s="694"/>
      <c r="G36" s="694"/>
      <c r="H36" s="694"/>
      <c r="I36" s="694"/>
      <c r="J36" s="694"/>
      <c r="K36" s="694"/>
    </row>
    <row r="37" spans="3:11" ht="40.5" customHeight="1" x14ac:dyDescent="0.25">
      <c r="C37" s="710" t="s">
        <v>262</v>
      </c>
      <c r="D37" s="710"/>
      <c r="E37" s="710"/>
      <c r="F37" s="710"/>
      <c r="G37" s="710"/>
      <c r="H37" s="710"/>
      <c r="I37" s="710"/>
      <c r="J37" s="710"/>
      <c r="K37" s="710"/>
    </row>
    <row r="38" spans="3:11" x14ac:dyDescent="0.25">
      <c r="C38" s="352"/>
      <c r="D38" s="345"/>
      <c r="E38" s="345"/>
      <c r="F38" s="345"/>
      <c r="G38" s="347"/>
      <c r="H38" s="347"/>
      <c r="J38" s="31"/>
      <c r="K38" s="31"/>
    </row>
  </sheetData>
  <mergeCells count="17">
    <mergeCell ref="C37:K37"/>
    <mergeCell ref="B5:L5"/>
    <mergeCell ref="B6:B10"/>
    <mergeCell ref="E6:F6"/>
    <mergeCell ref="G6:I6"/>
    <mergeCell ref="C6:C9"/>
    <mergeCell ref="D6:D9"/>
    <mergeCell ref="E7:E9"/>
    <mergeCell ref="F7:F8"/>
    <mergeCell ref="G7:G9"/>
    <mergeCell ref="H7:H9"/>
    <mergeCell ref="I7:I9"/>
    <mergeCell ref="J6:J9"/>
    <mergeCell ref="K6:K8"/>
    <mergeCell ref="B4:L4"/>
    <mergeCell ref="C35:K35"/>
    <mergeCell ref="C36:K36"/>
  </mergeCells>
  <pageMargins left="0.70866141732283472" right="0.70866141732283472" top="0.74803149606299213" bottom="0.74803149606299213" header="0.31496062992125984" footer="0.31496062992125984"/>
  <pageSetup paperSize="5"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37"/>
  <sheetViews>
    <sheetView workbookViewId="0">
      <selection activeCell="C11" sqref="C11"/>
    </sheetView>
  </sheetViews>
  <sheetFormatPr baseColWidth="10" defaultRowHeight="15" x14ac:dyDescent="0.25"/>
  <cols>
    <col min="1" max="1" width="3.5703125" customWidth="1"/>
    <col min="2" max="2" width="21.28515625" customWidth="1"/>
    <col min="3" max="3" width="15.28515625" customWidth="1"/>
    <col min="4" max="4" width="15.28515625" hidden="1" customWidth="1"/>
    <col min="5" max="5" width="16.5703125" bestFit="1" customWidth="1"/>
    <col min="6" max="6" width="14.7109375" customWidth="1"/>
    <col min="7" max="7" width="14.7109375" hidden="1" customWidth="1"/>
    <col min="8" max="8" width="15.28515625" bestFit="1" customWidth="1"/>
    <col min="9" max="9" width="15.42578125" customWidth="1"/>
    <col min="10" max="12" width="15.5703125" customWidth="1"/>
    <col min="13" max="13" width="14.85546875" customWidth="1"/>
    <col min="14" max="15" width="15.42578125" style="235" customWidth="1"/>
    <col min="16" max="16" width="15.85546875" customWidth="1"/>
    <col min="17" max="17" width="14.7109375" customWidth="1"/>
    <col min="18" max="18" width="15.140625" customWidth="1"/>
  </cols>
  <sheetData>
    <row r="2" spans="2:22" x14ac:dyDescent="0.25">
      <c r="B2" s="1"/>
      <c r="C2" s="1"/>
      <c r="D2" s="1"/>
      <c r="E2" s="1"/>
      <c r="F2" s="1"/>
      <c r="G2" s="1"/>
      <c r="H2" s="1"/>
      <c r="I2" s="1"/>
      <c r="J2" s="1"/>
      <c r="K2" s="1"/>
      <c r="L2" s="1"/>
      <c r="M2" s="1"/>
      <c r="P2" s="234"/>
    </row>
    <row r="3" spans="2:22" x14ac:dyDescent="0.25">
      <c r="B3" s="624" t="s">
        <v>345</v>
      </c>
      <c r="C3" s="624"/>
      <c r="D3" s="624"/>
      <c r="E3" s="624"/>
      <c r="F3" s="624"/>
      <c r="G3" s="624"/>
      <c r="H3" s="624"/>
      <c r="I3" s="624"/>
      <c r="J3" s="624"/>
      <c r="K3" s="624"/>
      <c r="L3" s="624"/>
      <c r="M3" s="1"/>
      <c r="N3" s="2"/>
      <c r="O3" s="2"/>
    </row>
    <row r="4" spans="2:22" ht="15.75" thickBot="1" x14ac:dyDescent="0.3">
      <c r="B4" s="684"/>
      <c r="C4" s="684"/>
      <c r="D4" s="684"/>
      <c r="E4" s="684"/>
      <c r="F4" s="684"/>
      <c r="G4" s="684"/>
      <c r="H4" s="684"/>
      <c r="I4" s="684"/>
      <c r="J4" s="684"/>
      <c r="K4" s="684"/>
      <c r="L4" s="684"/>
      <c r="M4" s="233"/>
      <c r="N4" s="233"/>
      <c r="O4" s="233"/>
      <c r="P4" s="233"/>
    </row>
    <row r="5" spans="2:22" ht="15" customHeight="1" x14ac:dyDescent="0.25">
      <c r="B5" s="696" t="s">
        <v>26</v>
      </c>
      <c r="C5" s="358" t="s">
        <v>192</v>
      </c>
      <c r="D5" s="524" t="s">
        <v>88</v>
      </c>
      <c r="E5" s="731" t="s">
        <v>341</v>
      </c>
      <c r="F5" s="358" t="s">
        <v>193</v>
      </c>
      <c r="G5" s="524" t="s">
        <v>89</v>
      </c>
      <c r="H5" s="731" t="s">
        <v>342</v>
      </c>
      <c r="I5" s="358" t="s">
        <v>196</v>
      </c>
      <c r="J5" s="525" t="s">
        <v>196</v>
      </c>
      <c r="K5" s="733" t="s">
        <v>343</v>
      </c>
      <c r="L5" s="735" t="s">
        <v>344</v>
      </c>
      <c r="M5" s="730"/>
      <c r="N5" s="233"/>
      <c r="O5" s="233"/>
      <c r="P5" s="233"/>
      <c r="Q5" s="233"/>
      <c r="R5" s="31"/>
      <c r="S5" s="31"/>
      <c r="T5" s="41"/>
      <c r="U5" s="41"/>
      <c r="V5" s="41"/>
    </row>
    <row r="6" spans="2:22" x14ac:dyDescent="0.25">
      <c r="B6" s="697"/>
      <c r="C6" s="513" t="s">
        <v>340</v>
      </c>
      <c r="D6" s="526" t="s">
        <v>94</v>
      </c>
      <c r="E6" s="732"/>
      <c r="F6" s="513" t="s">
        <v>340</v>
      </c>
      <c r="G6" s="526" t="s">
        <v>94</v>
      </c>
      <c r="H6" s="732"/>
      <c r="I6" s="513" t="s">
        <v>340</v>
      </c>
      <c r="J6" s="515"/>
      <c r="K6" s="734"/>
      <c r="L6" s="736"/>
      <c r="M6" s="730"/>
      <c r="N6" s="233"/>
      <c r="O6" s="233"/>
      <c r="P6" s="233"/>
      <c r="Q6" s="233"/>
      <c r="R6" s="31"/>
      <c r="S6" s="31"/>
      <c r="T6" s="41"/>
      <c r="U6" s="41"/>
      <c r="V6" s="41"/>
    </row>
    <row r="7" spans="2:22" x14ac:dyDescent="0.25">
      <c r="B7" s="697"/>
      <c r="C7" s="516">
        <v>0.6</v>
      </c>
      <c r="D7" s="527"/>
      <c r="E7" s="518"/>
      <c r="F7" s="516">
        <v>0.3</v>
      </c>
      <c r="G7" s="527"/>
      <c r="H7" s="518"/>
      <c r="I7" s="516">
        <v>0.1</v>
      </c>
      <c r="J7" s="519" t="s">
        <v>121</v>
      </c>
      <c r="K7" s="516"/>
      <c r="L7" s="736"/>
      <c r="M7" s="233"/>
      <c r="N7" s="233"/>
      <c r="O7" s="233"/>
      <c r="P7" s="233"/>
      <c r="Q7" s="233"/>
      <c r="R7" s="31"/>
      <c r="S7" s="31"/>
      <c r="T7" s="41"/>
      <c r="U7" s="41"/>
      <c r="V7" s="41"/>
    </row>
    <row r="8" spans="2:22" ht="15.75" thickBot="1" x14ac:dyDescent="0.3">
      <c r="B8" s="698"/>
      <c r="C8" s="520">
        <v>1</v>
      </c>
      <c r="D8" s="528" t="s">
        <v>97</v>
      </c>
      <c r="E8" s="522" t="s">
        <v>106</v>
      </c>
      <c r="F8" s="520">
        <v>3</v>
      </c>
      <c r="G8" s="528" t="s">
        <v>99</v>
      </c>
      <c r="H8" s="522" t="s">
        <v>106</v>
      </c>
      <c r="I8" s="520">
        <v>5</v>
      </c>
      <c r="J8" s="523" t="s">
        <v>98</v>
      </c>
      <c r="K8" s="520" t="s">
        <v>106</v>
      </c>
      <c r="L8" s="737"/>
      <c r="M8" s="37"/>
      <c r="N8" s="37"/>
      <c r="O8" s="37"/>
      <c r="P8" s="37"/>
      <c r="Q8" s="233"/>
      <c r="R8" s="37"/>
      <c r="S8" s="37"/>
      <c r="T8" s="41"/>
      <c r="U8" s="41"/>
      <c r="V8" s="41"/>
    </row>
    <row r="9" spans="2:22" ht="22.5" customHeight="1" x14ac:dyDescent="0.25">
      <c r="B9" s="51" t="s">
        <v>3</v>
      </c>
      <c r="C9" s="247">
        <f>FGP!F11</f>
        <v>3.1589687142796663</v>
      </c>
      <c r="D9" s="50">
        <f>C9*60%</f>
        <v>1.8953812285677998</v>
      </c>
      <c r="E9" s="7">
        <f t="shared" ref="E9:E28" si="0">C9*$E$29/100</f>
        <v>41783.773952838572</v>
      </c>
      <c r="F9" s="247">
        <f>FGP!L11</f>
        <v>3.9702722966484543</v>
      </c>
      <c r="G9" s="50">
        <f>F9*30%</f>
        <v>1.1910816889945361</v>
      </c>
      <c r="H9" s="7">
        <f>F9*$H$29/100</f>
        <v>26257.475239330484</v>
      </c>
      <c r="I9" s="247">
        <f>FGP!R11</f>
        <v>4.6874668574217839</v>
      </c>
      <c r="J9" s="50">
        <f>I9*10%</f>
        <v>0.46874668574217843</v>
      </c>
      <c r="K9" s="89">
        <f>I9*$K$29/100</f>
        <v>10333.567561854898</v>
      </c>
      <c r="L9" s="244">
        <f>E9+H9+K9</f>
        <v>78374.816754023952</v>
      </c>
      <c r="M9" s="6"/>
      <c r="N9" s="14"/>
      <c r="O9" s="7"/>
      <c r="P9" s="7"/>
      <c r="Q9" s="14"/>
      <c r="R9" s="32"/>
      <c r="S9" s="42"/>
      <c r="T9" s="43"/>
      <c r="U9" s="41"/>
      <c r="V9" s="41"/>
    </row>
    <row r="10" spans="2:22" ht="22.5" customHeight="1" x14ac:dyDescent="0.25">
      <c r="B10" s="51" t="s">
        <v>4</v>
      </c>
      <c r="C10" s="247">
        <f>FGP!F12</f>
        <v>1.3507472164599297</v>
      </c>
      <c r="D10" s="50">
        <f t="shared" ref="D10:D28" si="1">C10*60%</f>
        <v>0.81044832987595783</v>
      </c>
      <c r="E10" s="7">
        <f t="shared" si="0"/>
        <v>17866.373954531984</v>
      </c>
      <c r="F10" s="247">
        <f>FGP!L12</f>
        <v>4.4656428282147838</v>
      </c>
      <c r="G10" s="50">
        <f t="shared" ref="G10:G29" si="2">F10*30%</f>
        <v>1.339692848464435</v>
      </c>
      <c r="H10" s="7">
        <f t="shared" ref="H10:H28" si="3">F10*$H$29/100</f>
        <v>29533.618157255034</v>
      </c>
      <c r="I10" s="247">
        <f>FGP!R12</f>
        <v>6.7287175272378263</v>
      </c>
      <c r="J10" s="50">
        <f t="shared" ref="J10:J29" si="4">I10*10%</f>
        <v>0.67287175272378263</v>
      </c>
      <c r="K10" s="89">
        <f t="shared" ref="K10:K28" si="5">I10*$K$29/100</f>
        <v>14833.52507597106</v>
      </c>
      <c r="L10" s="244">
        <f t="shared" ref="L10:L28" si="6">E10+H10+K10</f>
        <v>62233.51718775808</v>
      </c>
      <c r="M10" s="6"/>
      <c r="N10" s="14"/>
      <c r="O10" s="20"/>
      <c r="P10" s="7"/>
      <c r="Q10" s="14"/>
      <c r="R10" s="32"/>
      <c r="S10" s="42"/>
      <c r="T10" s="43"/>
      <c r="U10" s="41"/>
      <c r="V10" s="41"/>
    </row>
    <row r="11" spans="2:22" ht="22.5" customHeight="1" x14ac:dyDescent="0.25">
      <c r="B11" s="51" t="s">
        <v>5</v>
      </c>
      <c r="C11" s="247">
        <f>FGP!F13</f>
        <v>1.0034291520257399</v>
      </c>
      <c r="D11" s="50">
        <f t="shared" si="1"/>
        <v>0.60205749121544394</v>
      </c>
      <c r="E11" s="7">
        <f t="shared" si="0"/>
        <v>13272.387496719022</v>
      </c>
      <c r="F11" s="247">
        <f>FGP!L13</f>
        <v>4.1805147724765668</v>
      </c>
      <c r="G11" s="50">
        <f t="shared" si="2"/>
        <v>1.25415443174297</v>
      </c>
      <c r="H11" s="7">
        <f t="shared" si="3"/>
        <v>27647.918058069223</v>
      </c>
      <c r="I11" s="247">
        <f>FGP!R13</f>
        <v>7.7942030507358862</v>
      </c>
      <c r="J11" s="50">
        <f t="shared" si="4"/>
        <v>0.77942030507358862</v>
      </c>
      <c r="K11" s="89">
        <f t="shared" si="5"/>
        <v>17182.398567377768</v>
      </c>
      <c r="L11" s="244">
        <f t="shared" si="6"/>
        <v>58102.704122166018</v>
      </c>
      <c r="M11" s="6"/>
      <c r="N11" s="14"/>
      <c r="O11" s="7"/>
      <c r="P11" s="7"/>
      <c r="Q11" s="14"/>
      <c r="R11" s="32"/>
      <c r="S11" s="42"/>
      <c r="T11" s="43"/>
      <c r="U11" s="41"/>
      <c r="V11" s="41"/>
    </row>
    <row r="12" spans="2:22" ht="22.5" customHeight="1" x14ac:dyDescent="0.25">
      <c r="B12" s="51" t="s">
        <v>6</v>
      </c>
      <c r="C12" s="247">
        <f>FGP!F14</f>
        <v>12.721730663392744</v>
      </c>
      <c r="D12" s="50">
        <f t="shared" si="1"/>
        <v>7.6330383980356462</v>
      </c>
      <c r="E12" s="7">
        <f t="shared" si="0"/>
        <v>168270.71313661573</v>
      </c>
      <c r="F12" s="247">
        <f>FGP!L14</f>
        <v>5.0404570553471801</v>
      </c>
      <c r="G12" s="50">
        <f t="shared" si="2"/>
        <v>1.512137116604154</v>
      </c>
      <c r="H12" s="7">
        <f t="shared" si="3"/>
        <v>33335.163544679686</v>
      </c>
      <c r="I12" s="247">
        <f>FGP!R14</f>
        <v>1.5820027302455366</v>
      </c>
      <c r="J12" s="50">
        <f t="shared" si="4"/>
        <v>0.15820027302455367</v>
      </c>
      <c r="K12" s="89">
        <f t="shared" si="5"/>
        <v>3487.5408388535884</v>
      </c>
      <c r="L12" s="244">
        <f t="shared" si="6"/>
        <v>205093.417520149</v>
      </c>
      <c r="M12" s="6"/>
      <c r="N12" s="14"/>
      <c r="O12" s="7"/>
      <c r="P12" s="7"/>
      <c r="Q12" s="14"/>
      <c r="R12" s="32"/>
      <c r="S12" s="42"/>
      <c r="T12" s="43"/>
      <c r="U12" s="41"/>
      <c r="V12" s="41"/>
    </row>
    <row r="13" spans="2:22" ht="22.5" customHeight="1" x14ac:dyDescent="0.25">
      <c r="B13" s="51" t="s">
        <v>7</v>
      </c>
      <c r="C13" s="247">
        <f>FGP!F15</f>
        <v>6.3943101477498834</v>
      </c>
      <c r="D13" s="50">
        <f t="shared" si="1"/>
        <v>3.8365860886499297</v>
      </c>
      <c r="E13" s="7">
        <f t="shared" si="0"/>
        <v>84577.732153592151</v>
      </c>
      <c r="F13" s="247">
        <f>FGP!L15</f>
        <v>2.4418785556736839</v>
      </c>
      <c r="G13" s="50">
        <f t="shared" si="2"/>
        <v>0.73256356670210521</v>
      </c>
      <c r="H13" s="7">
        <f t="shared" si="3"/>
        <v>16149.412665519023</v>
      </c>
      <c r="I13" s="247">
        <f>FGP!R15</f>
        <v>3.1663862477754878</v>
      </c>
      <c r="J13" s="50">
        <f t="shared" si="4"/>
        <v>0.31663862477754878</v>
      </c>
      <c r="K13" s="89">
        <f t="shared" si="5"/>
        <v>6980.3301470835404</v>
      </c>
      <c r="L13" s="244">
        <f t="shared" si="6"/>
        <v>107707.47496619471</v>
      </c>
      <c r="M13" s="6"/>
      <c r="N13" s="14"/>
      <c r="O13" s="7"/>
      <c r="P13" s="7"/>
      <c r="Q13" s="14"/>
      <c r="R13" s="32"/>
      <c r="S13" s="42"/>
      <c r="T13" s="43"/>
      <c r="U13" s="41"/>
      <c r="V13" s="41"/>
    </row>
    <row r="14" spans="2:22" ht="22.5" customHeight="1" x14ac:dyDescent="0.25">
      <c r="B14" s="51" t="s">
        <v>8</v>
      </c>
      <c r="C14" s="247">
        <f>FGP!F16</f>
        <v>3.5996782524025233</v>
      </c>
      <c r="D14" s="50">
        <f t="shared" si="1"/>
        <v>2.1598069514415137</v>
      </c>
      <c r="E14" s="7">
        <f t="shared" si="0"/>
        <v>47613.052234875744</v>
      </c>
      <c r="F14" s="247">
        <f>FGP!L16</f>
        <v>20.725077676818788</v>
      </c>
      <c r="G14" s="50">
        <f t="shared" si="2"/>
        <v>6.2175233030456365</v>
      </c>
      <c r="H14" s="7">
        <f t="shared" si="3"/>
        <v>137065.7157171946</v>
      </c>
      <c r="I14" s="247">
        <f>FGP!R16</f>
        <v>1.7270051667099389</v>
      </c>
      <c r="J14" s="50">
        <f t="shared" si="4"/>
        <v>0.1727005166709939</v>
      </c>
      <c r="K14" s="89">
        <f t="shared" si="5"/>
        <v>3807.2001600637277</v>
      </c>
      <c r="L14" s="244">
        <f t="shared" si="6"/>
        <v>188485.96811213405</v>
      </c>
      <c r="M14" s="6"/>
      <c r="N14" s="14"/>
      <c r="O14" s="7"/>
      <c r="P14" s="7"/>
      <c r="Q14" s="14"/>
      <c r="R14" s="32"/>
      <c r="S14" s="42"/>
      <c r="T14" s="43"/>
      <c r="U14" s="41"/>
      <c r="V14" s="41"/>
    </row>
    <row r="15" spans="2:22" ht="22.5" customHeight="1" x14ac:dyDescent="0.25">
      <c r="B15" s="51" t="s">
        <v>9</v>
      </c>
      <c r="C15" s="247">
        <f>FGP!F17</f>
        <v>1.0680326827822699</v>
      </c>
      <c r="D15" s="50">
        <f t="shared" si="1"/>
        <v>0.64081960966936191</v>
      </c>
      <c r="E15" s="7">
        <f t="shared" si="0"/>
        <v>14126.900336141567</v>
      </c>
      <c r="F15" s="247">
        <f>FGP!L17</f>
        <v>3.1103164311444003</v>
      </c>
      <c r="G15" s="50">
        <f t="shared" si="2"/>
        <v>0.93309492934332006</v>
      </c>
      <c r="H15" s="7">
        <f t="shared" si="3"/>
        <v>20570.139923702114</v>
      </c>
      <c r="I15" s="247">
        <f>FGP!R17</f>
        <v>9.192171667599176</v>
      </c>
      <c r="J15" s="50">
        <f t="shared" si="4"/>
        <v>0.9192171667599176</v>
      </c>
      <c r="K15" s="89">
        <f t="shared" si="5"/>
        <v>20264.23436293906</v>
      </c>
      <c r="L15" s="244">
        <f t="shared" si="6"/>
        <v>54961.274622782737</v>
      </c>
      <c r="M15" s="6"/>
      <c r="N15" s="14"/>
      <c r="O15" s="7"/>
      <c r="P15" s="7"/>
      <c r="Q15" s="14"/>
      <c r="R15" s="32"/>
      <c r="S15" s="42"/>
      <c r="T15" s="43"/>
      <c r="U15" s="41"/>
      <c r="V15" s="41"/>
    </row>
    <row r="16" spans="2:22" ht="22.5" customHeight="1" x14ac:dyDescent="0.25">
      <c r="B16" s="51" t="s">
        <v>10</v>
      </c>
      <c r="C16" s="247">
        <f>FGP!F18</f>
        <v>2.4906650861521529</v>
      </c>
      <c r="D16" s="50">
        <f t="shared" si="1"/>
        <v>1.4943990516912917</v>
      </c>
      <c r="E16" s="7">
        <f t="shared" si="0"/>
        <v>32944.101814487112</v>
      </c>
      <c r="F16" s="247">
        <f>FGP!L18</f>
        <v>6.2985795916584042</v>
      </c>
      <c r="G16" s="50">
        <f t="shared" si="2"/>
        <v>1.8895738774975213</v>
      </c>
      <c r="H16" s="7">
        <f t="shared" si="3"/>
        <v>41655.782101024684</v>
      </c>
      <c r="I16" s="247">
        <f>FGP!R18</f>
        <v>4.2753570833685446</v>
      </c>
      <c r="J16" s="50">
        <f t="shared" si="4"/>
        <v>0.4275357083368545</v>
      </c>
      <c r="K16" s="89">
        <f t="shared" si="5"/>
        <v>9425.0674438567894</v>
      </c>
      <c r="L16" s="244">
        <f t="shared" si="6"/>
        <v>84024.951359368599</v>
      </c>
      <c r="M16" s="6"/>
      <c r="N16" s="14"/>
      <c r="O16" s="7"/>
      <c r="P16" s="7"/>
      <c r="Q16" s="14"/>
      <c r="R16" s="32"/>
      <c r="S16" s="42"/>
      <c r="T16" s="43"/>
      <c r="U16" s="41"/>
      <c r="V16" s="41"/>
    </row>
    <row r="17" spans="2:22" ht="22.5" customHeight="1" x14ac:dyDescent="0.25">
      <c r="B17" s="51" t="s">
        <v>11</v>
      </c>
      <c r="C17" s="247">
        <f>FGP!F19</f>
        <v>1.5731764108208799</v>
      </c>
      <c r="D17" s="50">
        <f t="shared" si="1"/>
        <v>0.94390584649252784</v>
      </c>
      <c r="E17" s="7">
        <f t="shared" si="0"/>
        <v>20808.451581220103</v>
      </c>
      <c r="F17" s="247">
        <f>FGP!L19</f>
        <v>5.3863955131128405</v>
      </c>
      <c r="G17" s="50">
        <f t="shared" si="2"/>
        <v>1.6159186539338521</v>
      </c>
      <c r="H17" s="7">
        <f t="shared" si="3"/>
        <v>35623.034453882035</v>
      </c>
      <c r="I17" s="247">
        <f>FGP!R19</f>
        <v>5.6518298931528186</v>
      </c>
      <c r="J17" s="50">
        <f t="shared" si="4"/>
        <v>0.56518298931528188</v>
      </c>
      <c r="K17" s="89">
        <f t="shared" si="5"/>
        <v>12459.51551775432</v>
      </c>
      <c r="L17" s="244">
        <f t="shared" si="6"/>
        <v>68891.001552856455</v>
      </c>
      <c r="M17" s="6"/>
      <c r="N17" s="14"/>
      <c r="O17" s="7"/>
      <c r="P17" s="7"/>
      <c r="Q17" s="14"/>
      <c r="R17" s="32"/>
      <c r="S17" s="42"/>
      <c r="T17" s="43"/>
      <c r="U17" s="41"/>
      <c r="V17" s="41"/>
    </row>
    <row r="18" spans="2:22" ht="22.5" customHeight="1" x14ac:dyDescent="0.25">
      <c r="B18" s="51" t="s">
        <v>12</v>
      </c>
      <c r="C18" s="247">
        <f>FGP!F20</f>
        <v>1.212057067863342</v>
      </c>
      <c r="D18" s="50">
        <f t="shared" si="1"/>
        <v>0.72723424071800513</v>
      </c>
      <c r="E18" s="7">
        <f t="shared" si="0"/>
        <v>16031.915198340461</v>
      </c>
      <c r="F18" s="247">
        <f>FGP!L20</f>
        <v>4.3367980724303692</v>
      </c>
      <c r="G18" s="50">
        <f t="shared" si="2"/>
        <v>1.3010394217291108</v>
      </c>
      <c r="H18" s="7">
        <f t="shared" si="3"/>
        <v>28681.500787979694</v>
      </c>
      <c r="I18" s="247">
        <f>FGP!R20</f>
        <v>7.1330081835601495</v>
      </c>
      <c r="J18" s="50">
        <f t="shared" si="4"/>
        <v>0.713300818356015</v>
      </c>
      <c r="K18" s="89">
        <f t="shared" si="5"/>
        <v>15724.787870740185</v>
      </c>
      <c r="L18" s="244">
        <f t="shared" si="6"/>
        <v>60438.20385706034</v>
      </c>
      <c r="M18" s="6"/>
      <c r="N18" s="14"/>
      <c r="O18" s="7"/>
      <c r="P18" s="7"/>
      <c r="Q18" s="14"/>
      <c r="R18" s="32"/>
      <c r="S18" s="42"/>
      <c r="T18" s="43"/>
      <c r="U18" s="41"/>
      <c r="V18" s="41"/>
    </row>
    <row r="19" spans="2:22" ht="22.5" customHeight="1" x14ac:dyDescent="0.25">
      <c r="B19" s="51" t="s">
        <v>13</v>
      </c>
      <c r="C19" s="247">
        <f>FGP!F21</f>
        <v>2.8704119215951907</v>
      </c>
      <c r="D19" s="50">
        <f t="shared" si="1"/>
        <v>1.7222471529571144</v>
      </c>
      <c r="E19" s="7">
        <f t="shared" si="0"/>
        <v>37967.024599297234</v>
      </c>
      <c r="F19" s="247">
        <f>FGP!L21</f>
        <v>3.4973114037381472</v>
      </c>
      <c r="G19" s="50">
        <f t="shared" si="2"/>
        <v>1.0491934211214442</v>
      </c>
      <c r="H19" s="7">
        <f t="shared" si="3"/>
        <v>23129.538914850313</v>
      </c>
      <c r="I19" s="247">
        <f>FGP!R21</f>
        <v>5.220278857158962</v>
      </c>
      <c r="J19" s="50">
        <f t="shared" si="4"/>
        <v>0.5220278857158962</v>
      </c>
      <c r="K19" s="89">
        <f t="shared" si="5"/>
        <v>11508.156943395503</v>
      </c>
      <c r="L19" s="244">
        <f t="shared" si="6"/>
        <v>72604.720457543051</v>
      </c>
      <c r="M19" s="6"/>
      <c r="N19" s="14"/>
      <c r="O19" s="7"/>
      <c r="P19" s="7"/>
      <c r="Q19" s="14"/>
      <c r="R19" s="32"/>
      <c r="S19" s="42"/>
      <c r="T19" s="43"/>
      <c r="U19" s="41"/>
      <c r="V19" s="41"/>
    </row>
    <row r="20" spans="2:22" ht="22.5" customHeight="1" x14ac:dyDescent="0.25">
      <c r="B20" s="51" t="s">
        <v>14</v>
      </c>
      <c r="C20" s="247">
        <f>FGP!F22</f>
        <v>2.0950002116760511</v>
      </c>
      <c r="D20" s="50">
        <f t="shared" si="1"/>
        <v>1.2570001270056306</v>
      </c>
      <c r="E20" s="7">
        <f t="shared" si="0"/>
        <v>27710.63064984548</v>
      </c>
      <c r="F20" s="247">
        <f>FGP!L22</f>
        <v>1.2571042496087079</v>
      </c>
      <c r="G20" s="50">
        <f t="shared" si="2"/>
        <v>0.37713127488261239</v>
      </c>
      <c r="H20" s="7">
        <f t="shared" si="3"/>
        <v>8313.8840968721834</v>
      </c>
      <c r="I20" s="247">
        <f>FGP!R22</f>
        <v>8.8534450877189812</v>
      </c>
      <c r="J20" s="50">
        <f t="shared" si="4"/>
        <v>0.88534450877189819</v>
      </c>
      <c r="K20" s="89">
        <f t="shared" si="5"/>
        <v>19517.50823032737</v>
      </c>
      <c r="L20" s="244">
        <f t="shared" si="6"/>
        <v>55542.022977045039</v>
      </c>
      <c r="M20" s="6"/>
      <c r="N20" s="14"/>
      <c r="O20" s="7"/>
      <c r="P20" s="7"/>
      <c r="Q20" s="14"/>
      <c r="R20" s="32"/>
      <c r="S20" s="42"/>
      <c r="T20" s="43"/>
      <c r="U20" s="41"/>
      <c r="V20" s="41"/>
    </row>
    <row r="21" spans="2:22" ht="22.5" customHeight="1" x14ac:dyDescent="0.25">
      <c r="B21" s="51" t="s">
        <v>15</v>
      </c>
      <c r="C21" s="247">
        <f>FGP!F23</f>
        <v>3.7237204182718768</v>
      </c>
      <c r="D21" s="50">
        <f t="shared" si="1"/>
        <v>2.2342322509631258</v>
      </c>
      <c r="E21" s="7">
        <f t="shared" si="0"/>
        <v>49253.761684094665</v>
      </c>
      <c r="F21" s="247">
        <f>FGP!L23</f>
        <v>3.7448845211114654</v>
      </c>
      <c r="G21" s="50">
        <f t="shared" si="2"/>
        <v>1.1234653563334396</v>
      </c>
      <c r="H21" s="7">
        <f t="shared" si="3"/>
        <v>24766.868678061102</v>
      </c>
      <c r="I21" s="247">
        <f>FGP!R23</f>
        <v>4.3088134563682132</v>
      </c>
      <c r="J21" s="50">
        <f t="shared" si="4"/>
        <v>0.43088134563682134</v>
      </c>
      <c r="K21" s="89">
        <f t="shared" si="5"/>
        <v>9498.8223526982893</v>
      </c>
      <c r="L21" s="244">
        <f t="shared" si="6"/>
        <v>83519.452714854051</v>
      </c>
      <c r="M21" s="6"/>
      <c r="N21" s="14"/>
      <c r="O21" s="7"/>
      <c r="P21" s="7"/>
      <c r="Q21" s="14"/>
      <c r="R21" s="32"/>
      <c r="S21" s="42"/>
      <c r="T21" s="43"/>
      <c r="U21" s="41"/>
      <c r="V21" s="41"/>
    </row>
    <row r="22" spans="2:22" ht="22.5" customHeight="1" x14ac:dyDescent="0.25">
      <c r="B22" s="51" t="s">
        <v>16</v>
      </c>
      <c r="C22" s="247">
        <f>FGP!F24</f>
        <v>0.63494348249439059</v>
      </c>
      <c r="D22" s="50">
        <f t="shared" si="1"/>
        <v>0.38096608949663435</v>
      </c>
      <c r="E22" s="7">
        <f t="shared" si="0"/>
        <v>8398.416491257778</v>
      </c>
      <c r="F22" s="247">
        <f>FGP!L24</f>
        <v>3.8940441906995584</v>
      </c>
      <c r="G22" s="50">
        <f t="shared" si="2"/>
        <v>1.1682132572098676</v>
      </c>
      <c r="H22" s="7">
        <f t="shared" si="3"/>
        <v>25753.339136075345</v>
      </c>
      <c r="I22" s="247">
        <f>FGP!R24</f>
        <v>9.3389397835005834</v>
      </c>
      <c r="J22" s="50">
        <f t="shared" si="4"/>
        <v>0.93389397835005838</v>
      </c>
      <c r="K22" s="89">
        <f t="shared" si="5"/>
        <v>20587.786142124871</v>
      </c>
      <c r="L22" s="244">
        <f t="shared" si="6"/>
        <v>54739.541769457996</v>
      </c>
      <c r="M22" s="6"/>
      <c r="N22" s="14"/>
      <c r="O22" s="7"/>
      <c r="P22" s="7"/>
      <c r="Q22" s="14"/>
      <c r="R22" s="32"/>
      <c r="S22" s="42"/>
      <c r="T22" s="43"/>
      <c r="U22" s="41"/>
      <c r="V22" s="41"/>
    </row>
    <row r="23" spans="2:22" ht="22.5" customHeight="1" x14ac:dyDescent="0.25">
      <c r="B23" s="51" t="s">
        <v>17</v>
      </c>
      <c r="C23" s="247">
        <f>FGP!F25</f>
        <v>1.9878074594640365</v>
      </c>
      <c r="D23" s="50">
        <f t="shared" si="1"/>
        <v>1.1926844756784218</v>
      </c>
      <c r="E23" s="7">
        <f t="shared" si="0"/>
        <v>26292.788900554595</v>
      </c>
      <c r="F23" s="247">
        <f>FGP!L25</f>
        <v>6.9268644618055912</v>
      </c>
      <c r="G23" s="50">
        <f t="shared" si="2"/>
        <v>2.0780593385416775</v>
      </c>
      <c r="H23" s="7">
        <f t="shared" si="3"/>
        <v>45810.956655440517</v>
      </c>
      <c r="I23" s="247">
        <f>FGP!R25</f>
        <v>4.4233646700894491</v>
      </c>
      <c r="J23" s="50">
        <f t="shared" si="4"/>
        <v>0.44233646700894491</v>
      </c>
      <c r="K23" s="89">
        <f t="shared" si="5"/>
        <v>9751.3516488588921</v>
      </c>
      <c r="L23" s="244">
        <f t="shared" si="6"/>
        <v>81855.097204854013</v>
      </c>
      <c r="M23" s="6"/>
      <c r="N23" s="14"/>
      <c r="O23" s="7"/>
      <c r="P23" s="7"/>
      <c r="Q23" s="14"/>
      <c r="R23" s="32"/>
      <c r="S23" s="42"/>
      <c r="T23" s="43"/>
      <c r="U23" s="41"/>
      <c r="V23" s="41"/>
    </row>
    <row r="24" spans="2:22" ht="22.5" customHeight="1" x14ac:dyDescent="0.25">
      <c r="B24" s="51" t="s">
        <v>23</v>
      </c>
      <c r="C24" s="247">
        <f>FGP!F26</f>
        <v>8.2824605224164927</v>
      </c>
      <c r="D24" s="50">
        <f t="shared" si="1"/>
        <v>4.9694763134498956</v>
      </c>
      <c r="E24" s="7">
        <f t="shared" si="0"/>
        <v>109552.35380381862</v>
      </c>
      <c r="F24" s="247">
        <f>FGP!L26</f>
        <v>4.9454727128511768</v>
      </c>
      <c r="G24" s="50">
        <f t="shared" si="2"/>
        <v>1.4836418138553531</v>
      </c>
      <c r="H24" s="7">
        <f t="shared" si="3"/>
        <v>32706.982695895516</v>
      </c>
      <c r="I24" s="247">
        <f>FGP!R26</f>
        <v>2.2419692848201964</v>
      </c>
      <c r="J24" s="50">
        <f t="shared" si="4"/>
        <v>0.22419692848201966</v>
      </c>
      <c r="K24" s="89">
        <f t="shared" si="5"/>
        <v>4942.4437080789712</v>
      </c>
      <c r="L24" s="244">
        <f t="shared" si="6"/>
        <v>147201.78020779311</v>
      </c>
      <c r="M24" s="6"/>
      <c r="N24" s="14"/>
      <c r="O24" s="7"/>
      <c r="P24" s="7"/>
      <c r="Q24" s="14"/>
      <c r="R24" s="32"/>
      <c r="S24" s="42"/>
      <c r="T24" s="43"/>
      <c r="U24" s="41"/>
      <c r="V24" s="41"/>
    </row>
    <row r="25" spans="2:22" ht="22.5" customHeight="1" x14ac:dyDescent="0.25">
      <c r="B25" s="51" t="s">
        <v>18</v>
      </c>
      <c r="C25" s="247">
        <f>FGP!F27</f>
        <v>3.3629397569958934</v>
      </c>
      <c r="D25" s="50">
        <f t="shared" si="1"/>
        <v>2.0177638541975358</v>
      </c>
      <c r="E25" s="7">
        <f t="shared" si="0"/>
        <v>44481.705053977392</v>
      </c>
      <c r="F25" s="247">
        <f>FGP!L27</f>
        <v>3.8202480246517254</v>
      </c>
      <c r="G25" s="50">
        <f t="shared" si="2"/>
        <v>1.1460744073955176</v>
      </c>
      <c r="H25" s="7">
        <f t="shared" si="3"/>
        <v>25265.286715994676</v>
      </c>
      <c r="I25" s="247">
        <f>FGP!R27</f>
        <v>4.5728294041965452</v>
      </c>
      <c r="J25" s="50">
        <f t="shared" si="4"/>
        <v>0.45728294041965456</v>
      </c>
      <c r="K25" s="89">
        <f t="shared" si="5"/>
        <v>10080.848149845326</v>
      </c>
      <c r="L25" s="244">
        <f t="shared" si="6"/>
        <v>79827.839919817401</v>
      </c>
      <c r="M25" s="6"/>
      <c r="N25" s="14"/>
      <c r="O25" s="7"/>
      <c r="P25" s="7"/>
      <c r="Q25" s="14"/>
      <c r="R25" s="32"/>
      <c r="S25" s="42"/>
      <c r="T25" s="43"/>
      <c r="U25" s="41"/>
      <c r="V25" s="41"/>
    </row>
    <row r="26" spans="2:22" ht="22.5" customHeight="1" x14ac:dyDescent="0.25">
      <c r="B26" s="51" t="s">
        <v>19</v>
      </c>
      <c r="C26" s="247">
        <f>FGP!F28</f>
        <v>35.020363236103471</v>
      </c>
      <c r="D26" s="50">
        <f t="shared" si="1"/>
        <v>21.012217941662083</v>
      </c>
      <c r="E26" s="7">
        <f t="shared" si="0"/>
        <v>463215.39513483772</v>
      </c>
      <c r="F26" s="247">
        <f>FGP!L28</f>
        <v>3.2182239024250903</v>
      </c>
      <c r="G26" s="50">
        <f t="shared" si="2"/>
        <v>0.96546717072752708</v>
      </c>
      <c r="H26" s="7">
        <f t="shared" si="3"/>
        <v>21283.788143166385</v>
      </c>
      <c r="I26" s="247">
        <f>FGP!R28</f>
        <v>0.65829010465614668</v>
      </c>
      <c r="J26" s="50">
        <f t="shared" si="4"/>
        <v>6.5829010465614665E-2</v>
      </c>
      <c r="K26" s="89">
        <f t="shared" si="5"/>
        <v>1451.2071186155219</v>
      </c>
      <c r="L26" s="244">
        <f t="shared" si="6"/>
        <v>485950.39039661962</v>
      </c>
      <c r="M26" s="6"/>
      <c r="N26" s="14"/>
      <c r="O26" s="7"/>
      <c r="P26" s="7"/>
      <c r="Q26" s="14"/>
      <c r="R26" s="32"/>
      <c r="S26" s="42"/>
      <c r="T26" s="43"/>
      <c r="U26" s="41"/>
      <c r="V26" s="41"/>
    </row>
    <row r="27" spans="2:22" ht="22.5" customHeight="1" x14ac:dyDescent="0.25">
      <c r="B27" s="51" t="s">
        <v>20</v>
      </c>
      <c r="C27" s="247">
        <f>FGP!F29</f>
        <v>2.5879513991786967</v>
      </c>
      <c r="D27" s="50">
        <f t="shared" si="1"/>
        <v>1.5527708395072179</v>
      </c>
      <c r="E27" s="7">
        <f t="shared" si="0"/>
        <v>34230.910795478594</v>
      </c>
      <c r="F27" s="247">
        <f>FGP!L29</f>
        <v>4.4775825275255574</v>
      </c>
      <c r="G27" s="50">
        <f t="shared" si="2"/>
        <v>1.3432747582576672</v>
      </c>
      <c r="H27" s="7">
        <f t="shared" si="3"/>
        <v>29612.581597440825</v>
      </c>
      <c r="I27" s="247">
        <f>FGP!R29</f>
        <v>4.995671561214607</v>
      </c>
      <c r="J27" s="50">
        <f t="shared" si="4"/>
        <v>0.49956715612146074</v>
      </c>
      <c r="K27" s="89">
        <f t="shared" si="5"/>
        <v>11013.007913413214</v>
      </c>
      <c r="L27" s="244">
        <f t="shared" si="6"/>
        <v>74856.500306332629</v>
      </c>
      <c r="M27" s="6"/>
      <c r="N27" s="14"/>
      <c r="O27" s="7"/>
      <c r="P27" s="7"/>
      <c r="Q27" s="14"/>
      <c r="R27" s="32"/>
      <c r="S27" s="42"/>
      <c r="T27" s="43"/>
      <c r="U27" s="41"/>
      <c r="V27" s="41"/>
    </row>
    <row r="28" spans="2:22" ht="22.5" customHeight="1" thickBot="1" x14ac:dyDescent="0.3">
      <c r="B28" s="51" t="s">
        <v>21</v>
      </c>
      <c r="C28" s="247">
        <f>FGP!F30</f>
        <v>4.8616061978747727</v>
      </c>
      <c r="D28" s="50">
        <f t="shared" si="1"/>
        <v>2.9169637187248636</v>
      </c>
      <c r="E28" s="7">
        <f t="shared" si="0"/>
        <v>64304.611027475556</v>
      </c>
      <c r="F28" s="247">
        <f>FGP!L30</f>
        <v>4.2623312120575108</v>
      </c>
      <c r="G28" s="50">
        <f t="shared" si="2"/>
        <v>1.2786993636172532</v>
      </c>
      <c r="H28" s="7">
        <f t="shared" si="3"/>
        <v>28189.012717566588</v>
      </c>
      <c r="I28" s="247">
        <f>FGP!R30</f>
        <v>3.4482493824691449</v>
      </c>
      <c r="J28" s="50">
        <f t="shared" si="4"/>
        <v>0.34482493824691451</v>
      </c>
      <c r="K28" s="89">
        <f t="shared" si="5"/>
        <v>7601.7002461470547</v>
      </c>
      <c r="L28" s="244">
        <f t="shared" si="6"/>
        <v>100095.3239911892</v>
      </c>
      <c r="M28" s="6"/>
      <c r="N28" s="14"/>
      <c r="O28" s="7"/>
      <c r="P28" s="7"/>
      <c r="Q28" s="14"/>
      <c r="R28" s="32"/>
      <c r="S28" s="42"/>
      <c r="T28" s="43"/>
      <c r="U28" s="41"/>
      <c r="V28" s="41"/>
    </row>
    <row r="29" spans="2:22" ht="15.75" thickBot="1" x14ac:dyDescent="0.3">
      <c r="B29" s="248" t="s">
        <v>22</v>
      </c>
      <c r="C29" s="455">
        <v>99.999999999999986</v>
      </c>
      <c r="D29" s="249">
        <f>C29*60%</f>
        <v>59.999999999999986</v>
      </c>
      <c r="E29" s="149">
        <v>1322703</v>
      </c>
      <c r="F29" s="455">
        <v>100.00000000000003</v>
      </c>
      <c r="G29" s="249">
        <f t="shared" si="2"/>
        <v>30.000000000000007</v>
      </c>
      <c r="H29" s="149">
        <v>661352</v>
      </c>
      <c r="I29" s="455">
        <v>99.999999999999972</v>
      </c>
      <c r="J29" s="456">
        <f t="shared" si="4"/>
        <v>9.9999999999999982</v>
      </c>
      <c r="K29" s="149">
        <v>220451</v>
      </c>
      <c r="L29" s="250">
        <f>SUM(L9:L28)</f>
        <v>2204506.0000000005</v>
      </c>
      <c r="M29" s="45"/>
      <c r="N29" s="38"/>
      <c r="O29" s="46"/>
      <c r="P29" s="46"/>
      <c r="Q29" s="38"/>
      <c r="R29" s="31"/>
      <c r="S29" s="42"/>
      <c r="T29" s="43"/>
      <c r="U29" s="41"/>
      <c r="V29" s="41"/>
    </row>
    <row r="30" spans="2:22" ht="29.25" customHeight="1" x14ac:dyDescent="0.25">
      <c r="B30" s="488" t="s">
        <v>265</v>
      </c>
      <c r="C30" s="1"/>
      <c r="D30" s="1"/>
      <c r="E30" s="239"/>
      <c r="F30" s="1"/>
      <c r="G30" s="1"/>
      <c r="H30" s="1"/>
      <c r="I30" s="1"/>
      <c r="J30" s="1"/>
      <c r="K30" s="1"/>
      <c r="L30" s="1"/>
      <c r="M30" s="14"/>
      <c r="N30" s="39"/>
      <c r="O30" s="39"/>
      <c r="P30" s="41"/>
      <c r="Q30" s="41"/>
      <c r="R30" s="41"/>
      <c r="S30" s="41"/>
      <c r="T30" s="41"/>
      <c r="U30" s="41"/>
      <c r="V30" s="41"/>
    </row>
    <row r="31" spans="2:22" ht="29.25" customHeight="1" x14ac:dyDescent="0.25">
      <c r="B31" s="728" t="s">
        <v>263</v>
      </c>
      <c r="C31" s="728"/>
      <c r="D31" s="728"/>
      <c r="E31" s="728"/>
      <c r="F31" s="728"/>
      <c r="G31" s="728"/>
      <c r="H31" s="728"/>
      <c r="I31" s="728"/>
      <c r="J31" s="728"/>
      <c r="K31" s="728"/>
      <c r="L31" s="728"/>
      <c r="M31" s="1"/>
      <c r="N31" s="2"/>
      <c r="O31" s="2"/>
    </row>
    <row r="32" spans="2:22" ht="29.25" customHeight="1" x14ac:dyDescent="0.25">
      <c r="B32" s="729" t="s">
        <v>278</v>
      </c>
      <c r="C32" s="729"/>
      <c r="D32" s="729"/>
      <c r="E32" s="729"/>
      <c r="F32" s="729"/>
      <c r="G32" s="729"/>
      <c r="H32" s="729"/>
      <c r="I32" s="729"/>
      <c r="J32" s="729"/>
      <c r="K32" s="729"/>
      <c r="L32" s="729"/>
    </row>
    <row r="37" spans="8:8" x14ac:dyDescent="0.25">
      <c r="H37" s="351"/>
    </row>
  </sheetData>
  <mergeCells count="10">
    <mergeCell ref="B31:L31"/>
    <mergeCell ref="B32:L32"/>
    <mergeCell ref="B3:L3"/>
    <mergeCell ref="M5:M6"/>
    <mergeCell ref="B4:L4"/>
    <mergeCell ref="B5:B8"/>
    <mergeCell ref="E5:E6"/>
    <mergeCell ref="H5:H6"/>
    <mergeCell ref="K5:K6"/>
    <mergeCell ref="L5:L8"/>
  </mergeCells>
  <pageMargins left="0.70866141732283472" right="0.70866141732283472" top="0.74803149606299213" bottom="0.74803149606299213" header="0.31496062992125984" footer="0.31496062992125984"/>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CALENDARIO</vt:lpstr>
      <vt:lpstr>Porcentaje y Montos</vt:lpstr>
      <vt:lpstr>FGP</vt:lpstr>
      <vt:lpstr>FFM</vt:lpstr>
      <vt:lpstr>IEPS</vt:lpstr>
      <vt:lpstr>Nuevas Potestades</vt:lpstr>
      <vt:lpstr>FOFIR </vt:lpstr>
      <vt:lpstr>FOCO</vt:lpstr>
      <vt:lpstr>FOCO_ISAN</vt:lpstr>
      <vt:lpstr>ISAN</vt:lpstr>
      <vt:lpstr>Predial y Agua</vt:lpstr>
      <vt:lpstr>CENSO</vt:lpstr>
      <vt:lpstr>F.G.P. 2014</vt:lpstr>
      <vt:lpstr>F.F.M. 2014</vt:lpstr>
      <vt:lpstr>IEPS 2014 </vt:lpstr>
      <vt:lpstr>FOFIR 2014 </vt:lpstr>
      <vt:lpstr> FC 2014</vt:lpstr>
      <vt:lpstr>IEPSGAS 2014  </vt:lpstr>
      <vt:lpstr>Inicio</vt:lpstr>
      <vt:lpstr>1. Relleno</vt:lpstr>
      <vt:lpstr>2. Analizar</vt:lpstr>
      <vt:lpstr>3. 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Francisco JFCA. Cermeño Ayón</dc:creator>
  <cp:lastModifiedBy>MARTIN1</cp:lastModifiedBy>
  <cp:lastPrinted>2018-02-09T17:17:59Z</cp:lastPrinted>
  <dcterms:created xsi:type="dcterms:W3CDTF">2014-08-27T15:38:51Z</dcterms:created>
  <dcterms:modified xsi:type="dcterms:W3CDTF">2020-04-14T01:25:30Z</dcterms:modified>
</cp:coreProperties>
</file>